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aiaingenierie-my.sharepoint.com/personal/m_havard_a-i-a_fr/Documents/Bureau/MH/Projets/RECHERCHES/TEC - Tec 2.0/"/>
    </mc:Choice>
  </mc:AlternateContent>
  <xr:revisionPtr revIDLastSave="0" documentId="13_ncr:1_{451E3B46-547A-4F12-B37D-3D72D61EE574}" xr6:coauthVersionLast="47" xr6:coauthVersionMax="47" xr10:uidLastSave="{00000000-0000-0000-0000-000000000000}"/>
  <bookViews>
    <workbookView xWindow="13875" yWindow="-16320" windowWidth="29040" windowHeight="15720" tabRatio="500" xr2:uid="{00000000-000D-0000-FFFF-FFFF00000000}"/>
  </bookViews>
  <sheets>
    <sheet name="PROJET" sheetId="1" r:id="rId1"/>
    <sheet name="EMPREINTE" sheetId="2" r:id="rId2"/>
    <sheet name="SYNTHESE" sheetId="3" r:id="rId3"/>
    <sheet name="SYNTHESE (i)" sheetId="4" r:id="rId4"/>
    <sheet name="Données" sheetId="5" r:id="rId5"/>
    <sheet name="Calcul Projet" sheetId="6" state="hidden" r:id="rId6"/>
    <sheet name="Data-Liste" sheetId="7" state="hidden" r:id="rId7"/>
  </sheets>
  <definedNames>
    <definedName name="Logements">#REF!</definedName>
    <definedName name="Tertiaire">'Data-Liste'!$F$2:$F$5</definedName>
    <definedName name="Usages">'Data-Liste'!$A$2:$A$5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272" i="5" l="1"/>
  <c r="B302" i="2"/>
  <c r="E302" i="2"/>
  <c r="E18" i="2"/>
  <c r="F18" i="2"/>
  <c r="C2" i="3"/>
  <c r="E59" i="6" l="1"/>
  <c r="C54" i="6"/>
  <c r="B52" i="6"/>
  <c r="B51" i="6"/>
  <c r="B50" i="6"/>
  <c r="B49" i="6"/>
  <c r="B48" i="6"/>
  <c r="F40" i="6"/>
  <c r="B39" i="6"/>
  <c r="E39" i="6" s="1"/>
  <c r="E52" i="6" s="1"/>
  <c r="B38" i="6"/>
  <c r="E38" i="6" s="1"/>
  <c r="E51" i="6" s="1"/>
  <c r="B37" i="6"/>
  <c r="E37" i="6" s="1"/>
  <c r="E50" i="6" s="1"/>
  <c r="B36" i="6"/>
  <c r="E36" i="6" s="1"/>
  <c r="E49" i="6" s="1"/>
  <c r="B35" i="6"/>
  <c r="E35" i="6" s="1"/>
  <c r="E48" i="6" s="1"/>
  <c r="B34" i="6"/>
  <c r="E34" i="6" s="1"/>
  <c r="B33" i="6"/>
  <c r="E33" i="6" s="1"/>
  <c r="B32" i="6"/>
  <c r="E32" i="6" s="1"/>
  <c r="B29" i="6"/>
  <c r="B28" i="6"/>
  <c r="B27" i="6"/>
  <c r="B26" i="6"/>
  <c r="B25" i="6"/>
  <c r="D22" i="6"/>
  <c r="C22" i="6"/>
  <c r="C19" i="6"/>
  <c r="C43" i="6" s="1"/>
  <c r="C18" i="6"/>
  <c r="C17" i="6"/>
  <c r="F41" i="6" s="1"/>
  <c r="C16" i="6"/>
  <c r="B14" i="6"/>
  <c r="C9" i="6"/>
  <c r="C8" i="6"/>
  <c r="C10" i="6" s="1"/>
  <c r="C7" i="6"/>
  <c r="E47" i="6" s="1"/>
  <c r="C6" i="6"/>
  <c r="C5" i="6"/>
  <c r="F781" i="5"/>
  <c r="F779" i="5"/>
  <c r="D774" i="5"/>
  <c r="D760" i="5"/>
  <c r="B755" i="5"/>
  <c r="B754" i="5"/>
  <c r="B753" i="5"/>
  <c r="D752" i="5"/>
  <c r="D748" i="5"/>
  <c r="D746" i="5"/>
  <c r="D745" i="5"/>
  <c r="D744" i="5"/>
  <c r="D743" i="5"/>
  <c r="D742" i="5"/>
  <c r="D740" i="5" s="1"/>
  <c r="I319" i="2" s="1"/>
  <c r="D741" i="5"/>
  <c r="D732" i="5"/>
  <c r="D697" i="5"/>
  <c r="D691" i="5"/>
  <c r="F681" i="5"/>
  <c r="F678" i="5"/>
  <c r="F677" i="5"/>
  <c r="F676" i="5"/>
  <c r="F673" i="5"/>
  <c r="F672" i="5"/>
  <c r="F671" i="5"/>
  <c r="F670" i="5"/>
  <c r="F668" i="5"/>
  <c r="F667" i="5"/>
  <c r="F666" i="5"/>
  <c r="F665" i="5"/>
  <c r="F664" i="5"/>
  <c r="F663" i="5"/>
  <c r="F662" i="5"/>
  <c r="F661" i="5"/>
  <c r="F286" i="2" s="1"/>
  <c r="I286" i="2" s="1"/>
  <c r="F657" i="5"/>
  <c r="F656" i="5"/>
  <c r="C656" i="5"/>
  <c r="F655" i="5"/>
  <c r="F654" i="5"/>
  <c r="F653" i="5"/>
  <c r="F652" i="5"/>
  <c r="F651" i="5"/>
  <c r="A650" i="5"/>
  <c r="F649" i="5"/>
  <c r="C649" i="5"/>
  <c r="B649" i="5"/>
  <c r="B657" i="5" s="1"/>
  <c r="F648" i="5"/>
  <c r="C648" i="5"/>
  <c r="F647" i="5"/>
  <c r="C647" i="5"/>
  <c r="F646" i="5"/>
  <c r="C646" i="5"/>
  <c r="F645" i="5"/>
  <c r="C645" i="5"/>
  <c r="F644" i="5"/>
  <c r="C644" i="5"/>
  <c r="F643" i="5"/>
  <c r="A642" i="5"/>
  <c r="F641" i="5"/>
  <c r="C641" i="5"/>
  <c r="C657" i="5" s="1"/>
  <c r="B641" i="5"/>
  <c r="F640" i="5"/>
  <c r="C640" i="5"/>
  <c r="B640" i="5"/>
  <c r="B648" i="5" s="1"/>
  <c r="B656" i="5" s="1"/>
  <c r="F639" i="5"/>
  <c r="C639" i="5"/>
  <c r="C655" i="5" s="1"/>
  <c r="B639" i="5"/>
  <c r="B647" i="5" s="1"/>
  <c r="B655" i="5" s="1"/>
  <c r="F638" i="5"/>
  <c r="C638" i="5"/>
  <c r="C654" i="5" s="1"/>
  <c r="B638" i="5"/>
  <c r="B646" i="5" s="1"/>
  <c r="B654" i="5" s="1"/>
  <c r="F637" i="5"/>
  <c r="C637" i="5"/>
  <c r="C653" i="5" s="1"/>
  <c r="B637" i="5"/>
  <c r="B645" i="5" s="1"/>
  <c r="B653" i="5" s="1"/>
  <c r="F636" i="5"/>
  <c r="C636" i="5"/>
  <c r="C652" i="5" s="1"/>
  <c r="B636" i="5"/>
  <c r="B644" i="5" s="1"/>
  <c r="B652" i="5" s="1"/>
  <c r="F635" i="5"/>
  <c r="B635" i="5"/>
  <c r="B643" i="5" s="1"/>
  <c r="B651" i="5" s="1"/>
  <c r="A634" i="5"/>
  <c r="F633" i="5"/>
  <c r="F632" i="5"/>
  <c r="F631" i="5"/>
  <c r="F630" i="5"/>
  <c r="F629" i="5"/>
  <c r="F628" i="5"/>
  <c r="F627" i="5"/>
  <c r="A626" i="5"/>
  <c r="F624" i="5"/>
  <c r="F623" i="5"/>
  <c r="F622" i="5"/>
  <c r="F621" i="5"/>
  <c r="F620" i="5"/>
  <c r="F619" i="5"/>
  <c r="F618" i="5"/>
  <c r="F614" i="5"/>
  <c r="C614" i="5"/>
  <c r="F613" i="5"/>
  <c r="F612" i="5"/>
  <c r="A611" i="5"/>
  <c r="F610" i="5"/>
  <c r="C610" i="5"/>
  <c r="B610" i="5"/>
  <c r="F609" i="5"/>
  <c r="C609" i="5"/>
  <c r="B609" i="5"/>
  <c r="F608" i="5"/>
  <c r="B608" i="5"/>
  <c r="A608" i="5"/>
  <c r="A607" i="5"/>
  <c r="F606" i="5"/>
  <c r="C606" i="5"/>
  <c r="B606" i="5"/>
  <c r="B614" i="5" s="1"/>
  <c r="F605" i="5"/>
  <c r="C605" i="5"/>
  <c r="C613" i="5" s="1"/>
  <c r="B605" i="5"/>
  <c r="B613" i="5" s="1"/>
  <c r="F604" i="5"/>
  <c r="B604" i="5"/>
  <c r="B612" i="5" s="1"/>
  <c r="A604" i="5"/>
  <c r="A612" i="5" s="1"/>
  <c r="A603" i="5"/>
  <c r="F602" i="5"/>
  <c r="F601" i="5"/>
  <c r="F600" i="5"/>
  <c r="A599" i="5"/>
  <c r="M596" i="5"/>
  <c r="L596" i="5"/>
  <c r="K596" i="5"/>
  <c r="J596" i="5"/>
  <c r="I596" i="5"/>
  <c r="F592" i="5"/>
  <c r="F591" i="5"/>
  <c r="F590" i="5"/>
  <c r="F589" i="5"/>
  <c r="F588" i="5"/>
  <c r="F587" i="5"/>
  <c r="F586" i="5"/>
  <c r="F585" i="5"/>
  <c r="F584" i="5"/>
  <c r="F583" i="5"/>
  <c r="F582" i="5"/>
  <c r="F581" i="5"/>
  <c r="F577" i="5"/>
  <c r="F576" i="5"/>
  <c r="M575" i="5"/>
  <c r="L575" i="5"/>
  <c r="K575" i="5"/>
  <c r="J575" i="5"/>
  <c r="I575" i="5"/>
  <c r="F572" i="5"/>
  <c r="F258" i="2" s="1"/>
  <c r="I258" i="2" s="1"/>
  <c r="F569" i="5"/>
  <c r="F568" i="5"/>
  <c r="F567" i="5"/>
  <c r="F566" i="5"/>
  <c r="F565" i="5"/>
  <c r="F563" i="5"/>
  <c r="M561" i="5"/>
  <c r="L561" i="5"/>
  <c r="K561" i="5"/>
  <c r="J561" i="5"/>
  <c r="I561" i="5"/>
  <c r="F536" i="5"/>
  <c r="F535" i="5"/>
  <c r="F534" i="5"/>
  <c r="F533" i="5"/>
  <c r="F532" i="5"/>
  <c r="F531" i="5"/>
  <c r="F530" i="5"/>
  <c r="F529" i="5"/>
  <c r="F528" i="5"/>
  <c r="F526" i="5"/>
  <c r="F525" i="5"/>
  <c r="F524" i="5"/>
  <c r="F523" i="5"/>
  <c r="F236" i="2" s="1"/>
  <c r="I236" i="2" s="1"/>
  <c r="D519" i="5"/>
  <c r="F519" i="5" s="1"/>
  <c r="F518" i="5"/>
  <c r="D517" i="5"/>
  <c r="F517" i="5" s="1"/>
  <c r="F516" i="5"/>
  <c r="F511" i="5"/>
  <c r="M509" i="5"/>
  <c r="L509" i="5"/>
  <c r="K509" i="5"/>
  <c r="J509" i="5"/>
  <c r="I509" i="5"/>
  <c r="F506" i="5"/>
  <c r="F505" i="5"/>
  <c r="C505" i="5"/>
  <c r="F504" i="5"/>
  <c r="C504" i="5"/>
  <c r="F503" i="5"/>
  <c r="F501" i="5"/>
  <c r="C501" i="5"/>
  <c r="F500" i="5"/>
  <c r="B500" i="5"/>
  <c r="F499" i="5"/>
  <c r="F498" i="5"/>
  <c r="F496" i="5"/>
  <c r="F495" i="5"/>
  <c r="B495" i="5"/>
  <c r="F494" i="5"/>
  <c r="F493" i="5"/>
  <c r="F491" i="5"/>
  <c r="A489" i="5"/>
  <c r="F488" i="5"/>
  <c r="C488" i="5"/>
  <c r="B488" i="5"/>
  <c r="F487" i="5"/>
  <c r="C487" i="5"/>
  <c r="B487" i="5"/>
  <c r="F486" i="5"/>
  <c r="C486" i="5"/>
  <c r="B486" i="5"/>
  <c r="F485" i="5"/>
  <c r="B485" i="5"/>
  <c r="A485" i="5"/>
  <c r="F483" i="5"/>
  <c r="C483" i="5"/>
  <c r="B483" i="5"/>
  <c r="F482" i="5"/>
  <c r="C482" i="5"/>
  <c r="B482" i="5"/>
  <c r="F481" i="5"/>
  <c r="C481" i="5"/>
  <c r="B481" i="5"/>
  <c r="F480" i="5"/>
  <c r="B480" i="5"/>
  <c r="A480" i="5"/>
  <c r="F478" i="5"/>
  <c r="C478" i="5"/>
  <c r="B478" i="5"/>
  <c r="F477" i="5"/>
  <c r="C477" i="5"/>
  <c r="B477" i="5"/>
  <c r="F476" i="5"/>
  <c r="C476" i="5"/>
  <c r="B476" i="5"/>
  <c r="F475" i="5"/>
  <c r="B475" i="5"/>
  <c r="A475" i="5"/>
  <c r="F473" i="5"/>
  <c r="A471" i="5"/>
  <c r="F470" i="5"/>
  <c r="C470" i="5"/>
  <c r="C506" i="5" s="1"/>
  <c r="B470" i="5"/>
  <c r="B506" i="5" s="1"/>
  <c r="F469" i="5"/>
  <c r="C469" i="5"/>
  <c r="B469" i="5"/>
  <c r="B505" i="5" s="1"/>
  <c r="F468" i="5"/>
  <c r="C468" i="5"/>
  <c r="B468" i="5"/>
  <c r="B504" i="5" s="1"/>
  <c r="F467" i="5"/>
  <c r="B467" i="5"/>
  <c r="B503" i="5" s="1"/>
  <c r="A467" i="5"/>
  <c r="A503" i="5" s="1"/>
  <c r="F465" i="5"/>
  <c r="C465" i="5"/>
  <c r="B465" i="5"/>
  <c r="B501" i="5" s="1"/>
  <c r="F464" i="5"/>
  <c r="C464" i="5"/>
  <c r="C500" i="5" s="1"/>
  <c r="B464" i="5"/>
  <c r="F463" i="5"/>
  <c r="C463" i="5"/>
  <c r="C499" i="5" s="1"/>
  <c r="B463" i="5"/>
  <c r="B499" i="5" s="1"/>
  <c r="F462" i="5"/>
  <c r="B462" i="5"/>
  <c r="B498" i="5" s="1"/>
  <c r="A462" i="5"/>
  <c r="A498" i="5" s="1"/>
  <c r="F460" i="5"/>
  <c r="C460" i="5"/>
  <c r="C496" i="5" s="1"/>
  <c r="B460" i="5"/>
  <c r="B496" i="5" s="1"/>
  <c r="F459" i="5"/>
  <c r="C459" i="5"/>
  <c r="C495" i="5" s="1"/>
  <c r="B459" i="5"/>
  <c r="F458" i="5"/>
  <c r="C458" i="5"/>
  <c r="C494" i="5" s="1"/>
  <c r="B458" i="5"/>
  <c r="B494" i="5" s="1"/>
  <c r="F457" i="5"/>
  <c r="B457" i="5"/>
  <c r="B493" i="5" s="1"/>
  <c r="A457" i="5"/>
  <c r="A493" i="5" s="1"/>
  <c r="F455" i="5"/>
  <c r="A453" i="5"/>
  <c r="F452" i="5"/>
  <c r="F451" i="5"/>
  <c r="F450" i="5"/>
  <c r="F449" i="5"/>
  <c r="F447" i="5"/>
  <c r="F446" i="5"/>
  <c r="F445" i="5"/>
  <c r="F444" i="5"/>
  <c r="F442" i="5"/>
  <c r="F441" i="5"/>
  <c r="F440" i="5"/>
  <c r="F439" i="5"/>
  <c r="F437" i="5"/>
  <c r="A435" i="5"/>
  <c r="F429" i="5"/>
  <c r="F424" i="5"/>
  <c r="F419" i="5"/>
  <c r="F415" i="5"/>
  <c r="M414" i="5"/>
  <c r="L414" i="5"/>
  <c r="K414" i="5"/>
  <c r="J414" i="5"/>
  <c r="I414" i="5"/>
  <c r="F409" i="5"/>
  <c r="F408" i="5"/>
  <c r="F407" i="5"/>
  <c r="F406" i="5"/>
  <c r="F403" i="5"/>
  <c r="F402" i="5"/>
  <c r="F401" i="5"/>
  <c r="D400" i="5"/>
  <c r="F400" i="5" s="1"/>
  <c r="F399" i="5"/>
  <c r="F398" i="5"/>
  <c r="F397" i="5"/>
  <c r="D396" i="5"/>
  <c r="F396" i="5" s="1"/>
  <c r="F395" i="5"/>
  <c r="C395" i="5"/>
  <c r="B395" i="5"/>
  <c r="F394" i="5"/>
  <c r="F393" i="5"/>
  <c r="F392" i="5"/>
  <c r="F391" i="5"/>
  <c r="A390" i="5"/>
  <c r="F389" i="5"/>
  <c r="C389" i="5"/>
  <c r="B389" i="5"/>
  <c r="F388" i="5"/>
  <c r="C388" i="5"/>
  <c r="B388" i="5"/>
  <c r="F387" i="5"/>
  <c r="C387" i="5"/>
  <c r="B387" i="5"/>
  <c r="F386" i="5"/>
  <c r="C386" i="5"/>
  <c r="B386" i="5"/>
  <c r="F385" i="5"/>
  <c r="B385" i="5"/>
  <c r="A385" i="5"/>
  <c r="A384" i="5"/>
  <c r="F383" i="5"/>
  <c r="C383" i="5"/>
  <c r="B383" i="5"/>
  <c r="F382" i="5"/>
  <c r="C382" i="5"/>
  <c r="C394" i="5" s="1"/>
  <c r="B382" i="5"/>
  <c r="B394" i="5" s="1"/>
  <c r="F381" i="5"/>
  <c r="C381" i="5"/>
  <c r="C393" i="5" s="1"/>
  <c r="B381" i="5"/>
  <c r="B393" i="5" s="1"/>
  <c r="F380" i="5"/>
  <c r="C380" i="5"/>
  <c r="C392" i="5" s="1"/>
  <c r="B380" i="5"/>
  <c r="B392" i="5" s="1"/>
  <c r="F379" i="5"/>
  <c r="B379" i="5"/>
  <c r="B391" i="5" s="1"/>
  <c r="A379" i="5"/>
  <c r="A391" i="5" s="1"/>
  <c r="A378" i="5"/>
  <c r="F377" i="5"/>
  <c r="F376" i="5"/>
  <c r="F375" i="5"/>
  <c r="F374" i="5"/>
  <c r="F373" i="5"/>
  <c r="A372" i="5"/>
  <c r="F369" i="5"/>
  <c r="F368" i="5"/>
  <c r="F367" i="5"/>
  <c r="D366" i="5"/>
  <c r="F366" i="5" s="1"/>
  <c r="F365" i="5"/>
  <c r="F364" i="5"/>
  <c r="F363" i="5"/>
  <c r="D362" i="5"/>
  <c r="F362" i="5" s="1"/>
  <c r="F361" i="5"/>
  <c r="F360" i="5"/>
  <c r="F359" i="5"/>
  <c r="F358" i="5"/>
  <c r="F357" i="5"/>
  <c r="F355" i="5"/>
  <c r="M354" i="5"/>
  <c r="L354" i="5"/>
  <c r="J354" i="5"/>
  <c r="I354" i="5"/>
  <c r="F354" i="5"/>
  <c r="F353" i="5"/>
  <c r="D352" i="5"/>
  <c r="F352" i="5" s="1"/>
  <c r="F349" i="5"/>
  <c r="F348" i="5"/>
  <c r="F347" i="5"/>
  <c r="F346" i="5"/>
  <c r="F345" i="5"/>
  <c r="F344" i="5"/>
  <c r="F340" i="5"/>
  <c r="I339" i="5"/>
  <c r="D339" i="5"/>
  <c r="H165" i="2" s="1"/>
  <c r="F338" i="5"/>
  <c r="F337" i="5"/>
  <c r="F336" i="5"/>
  <c r="F335" i="5"/>
  <c r="F334" i="5"/>
  <c r="F333" i="5"/>
  <c r="D332" i="5"/>
  <c r="F332" i="5" s="1"/>
  <c r="C332" i="5"/>
  <c r="B332" i="5"/>
  <c r="D331" i="5"/>
  <c r="F331" i="5" s="1"/>
  <c r="C331" i="5"/>
  <c r="B331" i="5"/>
  <c r="D330" i="5"/>
  <c r="F330" i="5" s="1"/>
  <c r="C330" i="5"/>
  <c r="B330" i="5"/>
  <c r="D329" i="5"/>
  <c r="F329" i="5" s="1"/>
  <c r="C329" i="5"/>
  <c r="B329" i="5"/>
  <c r="F328" i="5"/>
  <c r="C328" i="5"/>
  <c r="B328" i="5"/>
  <c r="D327" i="5"/>
  <c r="F327" i="5" s="1"/>
  <c r="C327" i="5"/>
  <c r="B327" i="5"/>
  <c r="F326" i="5"/>
  <c r="F325" i="5"/>
  <c r="F324" i="5"/>
  <c r="F323" i="5"/>
  <c r="F322" i="5"/>
  <c r="F321" i="5"/>
  <c r="F319" i="5"/>
  <c r="D318" i="5"/>
  <c r="F318" i="5" s="1"/>
  <c r="B318" i="5"/>
  <c r="D317" i="5"/>
  <c r="F317" i="5" s="1"/>
  <c r="B317" i="5"/>
  <c r="D316" i="5"/>
  <c r="F316" i="5" s="1"/>
  <c r="B316" i="5"/>
  <c r="F315" i="5"/>
  <c r="B315" i="5"/>
  <c r="D314" i="5"/>
  <c r="F314" i="5" s="1"/>
  <c r="B314" i="5"/>
  <c r="D313" i="5"/>
  <c r="F313" i="5" s="1"/>
  <c r="B313" i="5"/>
  <c r="D312" i="5"/>
  <c r="F312" i="5" s="1"/>
  <c r="B312" i="5"/>
  <c r="D311" i="5"/>
  <c r="F311" i="5" s="1"/>
  <c r="B311" i="5"/>
  <c r="F310" i="5"/>
  <c r="B310" i="5"/>
  <c r="F309" i="5"/>
  <c r="F308" i="5"/>
  <c r="F307" i="5"/>
  <c r="F306" i="5"/>
  <c r="F305" i="5"/>
  <c r="I154" i="2" s="1"/>
  <c r="F304" i="5"/>
  <c r="F303" i="5"/>
  <c r="F302" i="5"/>
  <c r="F301" i="5"/>
  <c r="F300" i="5"/>
  <c r="F297" i="5"/>
  <c r="F296" i="5"/>
  <c r="F295" i="5"/>
  <c r="F294" i="5"/>
  <c r="G293" i="5"/>
  <c r="F293" i="5"/>
  <c r="F292" i="5"/>
  <c r="F291" i="5"/>
  <c r="F290" i="5"/>
  <c r="F289" i="5"/>
  <c r="F288" i="5"/>
  <c r="F287" i="5"/>
  <c r="F286" i="5"/>
  <c r="F285" i="5"/>
  <c r="F284" i="5"/>
  <c r="G283" i="5"/>
  <c r="F283" i="5"/>
  <c r="F282" i="5"/>
  <c r="F281" i="5"/>
  <c r="F280" i="5"/>
  <c r="F279" i="5"/>
  <c r="F278" i="5"/>
  <c r="F277" i="5"/>
  <c r="G276" i="5"/>
  <c r="F276" i="5"/>
  <c r="F275" i="5"/>
  <c r="F274" i="5"/>
  <c r="F273" i="5"/>
  <c r="F271" i="5"/>
  <c r="F270" i="5"/>
  <c r="F269" i="5"/>
  <c r="F268" i="5"/>
  <c r="G267" i="5"/>
  <c r="F267" i="5"/>
  <c r="F266" i="5"/>
  <c r="I136" i="2" s="1"/>
  <c r="F265" i="5"/>
  <c r="F264" i="5"/>
  <c r="F263" i="5"/>
  <c r="F262" i="5"/>
  <c r="G261" i="5"/>
  <c r="F261" i="5"/>
  <c r="F260" i="5"/>
  <c r="I133" i="2" s="1"/>
  <c r="F259" i="5"/>
  <c r="F258" i="5"/>
  <c r="F257" i="5"/>
  <c r="G256" i="5"/>
  <c r="F256" i="5"/>
  <c r="F255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I117" i="2" s="1"/>
  <c r="F238" i="5"/>
  <c r="I115" i="2" s="1"/>
  <c r="F237" i="5"/>
  <c r="I114" i="2" s="1"/>
  <c r="F236" i="5"/>
  <c r="I113" i="2" s="1"/>
  <c r="F235" i="5"/>
  <c r="I112" i="2" s="1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I104" i="2" s="1"/>
  <c r="D217" i="5"/>
  <c r="F217" i="5" s="1"/>
  <c r="D216" i="5"/>
  <c r="F216" i="5" s="1"/>
  <c r="D215" i="5"/>
  <c r="F215" i="5" s="1"/>
  <c r="D214" i="5"/>
  <c r="F214" i="5" s="1"/>
  <c r="D213" i="5"/>
  <c r="F213" i="5" s="1"/>
  <c r="D212" i="5"/>
  <c r="F212" i="5" s="1"/>
  <c r="F211" i="5"/>
  <c r="F210" i="5"/>
  <c r="I101" i="2" s="1"/>
  <c r="F209" i="5"/>
  <c r="F208" i="5"/>
  <c r="F207" i="5"/>
  <c r="F206" i="5"/>
  <c r="F205" i="5"/>
  <c r="D204" i="5"/>
  <c r="F204" i="5" s="1"/>
  <c r="F203" i="5"/>
  <c r="F202" i="5"/>
  <c r="F201" i="5"/>
  <c r="D199" i="5"/>
  <c r="F199" i="5" s="1"/>
  <c r="F198" i="5"/>
  <c r="F197" i="5"/>
  <c r="F196" i="5"/>
  <c r="F195" i="5"/>
  <c r="F194" i="5"/>
  <c r="I92" i="2" s="1"/>
  <c r="D192" i="5"/>
  <c r="F192" i="5" s="1"/>
  <c r="G191" i="5"/>
  <c r="D191" i="5"/>
  <c r="F191" i="5" s="1"/>
  <c r="B191" i="5"/>
  <c r="G190" i="5"/>
  <c r="F190" i="5"/>
  <c r="D190" i="5"/>
  <c r="B190" i="5"/>
  <c r="G189" i="5"/>
  <c r="B189" i="5"/>
  <c r="G188" i="5"/>
  <c r="D188" i="5"/>
  <c r="F188" i="5" s="1"/>
  <c r="B188" i="5"/>
  <c r="F187" i="5"/>
  <c r="B187" i="5"/>
  <c r="G186" i="5"/>
  <c r="F186" i="5"/>
  <c r="B186" i="5"/>
  <c r="F185" i="5"/>
  <c r="F184" i="5"/>
  <c r="F183" i="5"/>
  <c r="D182" i="5"/>
  <c r="F182" i="5" s="1"/>
  <c r="F181" i="5"/>
  <c r="F180" i="5"/>
  <c r="F179" i="5"/>
  <c r="G177" i="5"/>
  <c r="D177" i="5"/>
  <c r="F177" i="5" s="1"/>
  <c r="B177" i="5"/>
  <c r="G176" i="5"/>
  <c r="D176" i="5"/>
  <c r="F176" i="5" s="1"/>
  <c r="B176" i="5"/>
  <c r="G175" i="5"/>
  <c r="F175" i="5"/>
  <c r="D175" i="5"/>
  <c r="B175" i="5"/>
  <c r="G174" i="5"/>
  <c r="D174" i="5"/>
  <c r="F174" i="5" s="1"/>
  <c r="B174" i="5"/>
  <c r="G173" i="5"/>
  <c r="D173" i="5"/>
  <c r="F173" i="5" s="1"/>
  <c r="B173" i="5"/>
  <c r="G172" i="5"/>
  <c r="D172" i="5"/>
  <c r="F172" i="5" s="1"/>
  <c r="B172" i="5"/>
  <c r="G171" i="5"/>
  <c r="D171" i="5"/>
  <c r="F171" i="5" s="1"/>
  <c r="B171" i="5"/>
  <c r="G170" i="5"/>
  <c r="B170" i="5"/>
  <c r="G169" i="5"/>
  <c r="D169" i="5"/>
  <c r="F169" i="5" s="1"/>
  <c r="B169" i="5"/>
  <c r="F168" i="5"/>
  <c r="B168" i="5"/>
  <c r="G167" i="5"/>
  <c r="F167" i="5"/>
  <c r="B167" i="5"/>
  <c r="F166" i="5"/>
  <c r="F165" i="5"/>
  <c r="F164" i="5"/>
  <c r="F163" i="5"/>
  <c r="F162" i="5"/>
  <c r="D161" i="5"/>
  <c r="F161" i="5" s="1"/>
  <c r="F160" i="5"/>
  <c r="D159" i="5"/>
  <c r="D170" i="5" s="1"/>
  <c r="F170" i="5" s="1"/>
  <c r="F158" i="5"/>
  <c r="F157" i="5"/>
  <c r="F156" i="5"/>
  <c r="D153" i="5"/>
  <c r="D154" i="5" s="1"/>
  <c r="F154" i="5" s="1"/>
  <c r="D151" i="5"/>
  <c r="D152" i="5" s="1"/>
  <c r="F152" i="5" s="1"/>
  <c r="D150" i="5"/>
  <c r="F150" i="5" s="1"/>
  <c r="D149" i="5"/>
  <c r="F149" i="5" s="1"/>
  <c r="F148" i="5"/>
  <c r="F147" i="5"/>
  <c r="D146" i="5"/>
  <c r="B146" i="5"/>
  <c r="D145" i="5"/>
  <c r="B145" i="5"/>
  <c r="D144" i="5"/>
  <c r="B144" i="5"/>
  <c r="B142" i="5"/>
  <c r="D120" i="5"/>
  <c r="D115" i="5"/>
  <c r="D114" i="5"/>
  <c r="D112" i="5"/>
  <c r="D110" i="5"/>
  <c r="G105" i="5"/>
  <c r="G106" i="5" s="1"/>
  <c r="G107" i="5" s="1"/>
  <c r="D105" i="5"/>
  <c r="D113" i="5" s="1"/>
  <c r="F87" i="5"/>
  <c r="F86" i="5"/>
  <c r="F85" i="5"/>
  <c r="I41" i="2" s="1"/>
  <c r="F75" i="5"/>
  <c r="B75" i="5"/>
  <c r="D74" i="5"/>
  <c r="F74" i="5" s="1"/>
  <c r="B74" i="5"/>
  <c r="F73" i="5"/>
  <c r="B73" i="5"/>
  <c r="F72" i="5"/>
  <c r="B72" i="5"/>
  <c r="F71" i="5"/>
  <c r="F68" i="5"/>
  <c r="B68" i="5"/>
  <c r="F67" i="5"/>
  <c r="B67" i="5"/>
  <c r="F66" i="5"/>
  <c r="F65" i="5"/>
  <c r="B65" i="5"/>
  <c r="D64" i="5"/>
  <c r="F64" i="5" s="1"/>
  <c r="B64" i="5"/>
  <c r="F63" i="5"/>
  <c r="B63" i="5"/>
  <c r="D62" i="5"/>
  <c r="F62" i="5" s="1"/>
  <c r="B62" i="5"/>
  <c r="D61" i="5"/>
  <c r="F61" i="5" s="1"/>
  <c r="D59" i="5"/>
  <c r="D58" i="5"/>
  <c r="D57" i="5"/>
  <c r="E60" i="6" s="1"/>
  <c r="F55" i="5"/>
  <c r="F54" i="5"/>
  <c r="F53" i="5"/>
  <c r="D52" i="5"/>
  <c r="F52" i="5" s="1"/>
  <c r="A51" i="5"/>
  <c r="F50" i="5"/>
  <c r="C50" i="5"/>
  <c r="F49" i="5"/>
  <c r="C49" i="5"/>
  <c r="F48" i="5"/>
  <c r="C48" i="5"/>
  <c r="D47" i="5"/>
  <c r="F47" i="5" s="1"/>
  <c r="B47" i="5"/>
  <c r="A46" i="5"/>
  <c r="F45" i="5"/>
  <c r="C45" i="5"/>
  <c r="C55" i="5" s="1"/>
  <c r="F44" i="5"/>
  <c r="C44" i="5"/>
  <c r="C54" i="5" s="1"/>
  <c r="F43" i="5"/>
  <c r="C43" i="5"/>
  <c r="C53" i="5" s="1"/>
  <c r="D42" i="5"/>
  <c r="F42" i="5" s="1"/>
  <c r="D27" i="6" s="1"/>
  <c r="B42" i="5"/>
  <c r="A41" i="5"/>
  <c r="F40" i="5"/>
  <c r="C40" i="5"/>
  <c r="F39" i="5"/>
  <c r="C39" i="5"/>
  <c r="F38" i="5"/>
  <c r="C38" i="5"/>
  <c r="D37" i="5"/>
  <c r="F37" i="5" s="1"/>
  <c r="B37" i="5"/>
  <c r="A36" i="5"/>
  <c r="F35" i="5"/>
  <c r="B35" i="5"/>
  <c r="B50" i="5" s="1"/>
  <c r="F34" i="5"/>
  <c r="B34" i="5"/>
  <c r="B49" i="5" s="1"/>
  <c r="F33" i="5"/>
  <c r="B33" i="5"/>
  <c r="B43" i="5" s="1"/>
  <c r="D32" i="5"/>
  <c r="C25" i="6" s="1"/>
  <c r="A31" i="5"/>
  <c r="F30" i="5"/>
  <c r="B30" i="5"/>
  <c r="F29" i="5"/>
  <c r="D29" i="5"/>
  <c r="B29" i="5"/>
  <c r="F28" i="5"/>
  <c r="F27" i="5" s="1"/>
  <c r="D24" i="6" s="1"/>
  <c r="D28" i="5"/>
  <c r="B28" i="5"/>
  <c r="D27" i="5"/>
  <c r="C24" i="6" s="1"/>
  <c r="B21" i="5"/>
  <c r="B20" i="5"/>
  <c r="B19" i="5"/>
  <c r="B18" i="5"/>
  <c r="E12" i="5"/>
  <c r="F12" i="5" s="1"/>
  <c r="B12" i="5"/>
  <c r="E11" i="5"/>
  <c r="F11" i="5" s="1"/>
  <c r="B11" i="5"/>
  <c r="E10" i="5"/>
  <c r="F10" i="5" s="1"/>
  <c r="B10" i="5"/>
  <c r="E9" i="5"/>
  <c r="F9" i="5" s="1"/>
  <c r="B9" i="5"/>
  <c r="E8" i="5"/>
  <c r="F8" i="5" s="1"/>
  <c r="B8" i="5"/>
  <c r="F7" i="5"/>
  <c r="E7" i="5"/>
  <c r="B7" i="5"/>
  <c r="E6" i="5"/>
  <c r="F6" i="5" s="1"/>
  <c r="D6" i="5"/>
  <c r="B6" i="5"/>
  <c r="F5" i="5"/>
  <c r="B5" i="5"/>
  <c r="B73" i="4"/>
  <c r="B74" i="4" s="1"/>
  <c r="C72" i="4"/>
  <c r="B72" i="4"/>
  <c r="G70" i="4"/>
  <c r="F70" i="4"/>
  <c r="E70" i="4"/>
  <c r="D70" i="4"/>
  <c r="F51" i="4"/>
  <c r="E51" i="4"/>
  <c r="D51" i="4"/>
  <c r="C51" i="4"/>
  <c r="F25" i="4"/>
  <c r="E25" i="4"/>
  <c r="D25" i="4"/>
  <c r="C25" i="4"/>
  <c r="F7" i="4"/>
  <c r="E7" i="4"/>
  <c r="D7" i="4"/>
  <c r="C7" i="4"/>
  <c r="M5" i="4"/>
  <c r="M4" i="4"/>
  <c r="M3" i="4"/>
  <c r="M2" i="4"/>
  <c r="C2" i="4"/>
  <c r="B74" i="3"/>
  <c r="B75" i="3" s="1"/>
  <c r="C73" i="3"/>
  <c r="B73" i="3"/>
  <c r="U30" i="3"/>
  <c r="U29" i="3"/>
  <c r="J5" i="3"/>
  <c r="R4" i="3"/>
  <c r="P4" i="3"/>
  <c r="N4" i="3"/>
  <c r="J4" i="3"/>
  <c r="R3" i="3"/>
  <c r="P3" i="3"/>
  <c r="N3" i="3"/>
  <c r="J3" i="3"/>
  <c r="R2" i="3"/>
  <c r="Q2" i="3"/>
  <c r="P2" i="3"/>
  <c r="O2" i="3"/>
  <c r="S2" i="3" s="1"/>
  <c r="N2" i="3"/>
  <c r="M2" i="3"/>
  <c r="J2" i="3"/>
  <c r="I353" i="2"/>
  <c r="H353" i="2"/>
  <c r="I349" i="2"/>
  <c r="H349" i="2"/>
  <c r="I348" i="2"/>
  <c r="H348" i="2"/>
  <c r="C60" i="3" s="1"/>
  <c r="I345" i="2"/>
  <c r="H345" i="2"/>
  <c r="I344" i="2"/>
  <c r="H344" i="2"/>
  <c r="C343" i="2"/>
  <c r="I341" i="2"/>
  <c r="H341" i="2"/>
  <c r="C337" i="2"/>
  <c r="K335" i="2"/>
  <c r="F335" i="2"/>
  <c r="E335" i="2"/>
  <c r="D335" i="2"/>
  <c r="I333" i="2"/>
  <c r="J330" i="2"/>
  <c r="C329" i="2"/>
  <c r="J324" i="2"/>
  <c r="C323" i="2"/>
  <c r="J318" i="2"/>
  <c r="C317" i="2"/>
  <c r="J312" i="2"/>
  <c r="K309" i="2"/>
  <c r="F309" i="2"/>
  <c r="E309" i="2"/>
  <c r="D309" i="2"/>
  <c r="F294" i="2"/>
  <c r="I294" i="2" s="1"/>
  <c r="E294" i="2"/>
  <c r="H294" i="2" s="1"/>
  <c r="F290" i="2"/>
  <c r="I290" i="2" s="1"/>
  <c r="E290" i="2"/>
  <c r="H290" i="2" s="1"/>
  <c r="E286" i="2"/>
  <c r="H286" i="2" s="1"/>
  <c r="B271" i="2"/>
  <c r="F267" i="2"/>
  <c r="I267" i="2" s="1"/>
  <c r="E267" i="2"/>
  <c r="E298" i="2" s="1"/>
  <c r="F266" i="2"/>
  <c r="I266" i="2" s="1"/>
  <c r="F261" i="2"/>
  <c r="E261" i="2"/>
  <c r="E258" i="2"/>
  <c r="H258" i="2" s="1"/>
  <c r="E245" i="2"/>
  <c r="E236" i="2"/>
  <c r="H236" i="2" s="1"/>
  <c r="E229" i="2"/>
  <c r="H229" i="2" s="1"/>
  <c r="I221" i="2"/>
  <c r="H221" i="2"/>
  <c r="I211" i="2"/>
  <c r="H211" i="2"/>
  <c r="E181" i="2"/>
  <c r="E176" i="2"/>
  <c r="F175" i="2"/>
  <c r="E174" i="2"/>
  <c r="K171" i="2"/>
  <c r="F171" i="2"/>
  <c r="E171" i="2"/>
  <c r="D171" i="2"/>
  <c r="I168" i="2"/>
  <c r="H168" i="2"/>
  <c r="G168" i="2"/>
  <c r="I163" i="2"/>
  <c r="H163" i="2"/>
  <c r="I162" i="2"/>
  <c r="H162" i="2"/>
  <c r="G160" i="2"/>
  <c r="H154" i="2"/>
  <c r="I148" i="2"/>
  <c r="H148" i="2"/>
  <c r="G148" i="2"/>
  <c r="I146" i="2"/>
  <c r="H146" i="2"/>
  <c r="G146" i="2"/>
  <c r="I145" i="2"/>
  <c r="H145" i="2"/>
  <c r="I143" i="2"/>
  <c r="H143" i="2"/>
  <c r="G143" i="2"/>
  <c r="B143" i="2"/>
  <c r="I140" i="2"/>
  <c r="H140" i="2"/>
  <c r="G140" i="2"/>
  <c r="I139" i="2"/>
  <c r="H139" i="2"/>
  <c r="I137" i="2"/>
  <c r="H137" i="2"/>
  <c r="G137" i="2"/>
  <c r="H136" i="2"/>
  <c r="I134" i="2"/>
  <c r="H134" i="2"/>
  <c r="G134" i="2"/>
  <c r="H133" i="2"/>
  <c r="I131" i="2"/>
  <c r="H131" i="2"/>
  <c r="G131" i="2"/>
  <c r="B131" i="2"/>
  <c r="I126" i="2"/>
  <c r="H126" i="2"/>
  <c r="G126" i="2"/>
  <c r="I124" i="2"/>
  <c r="H124" i="2"/>
  <c r="G124" i="2"/>
  <c r="B124" i="2"/>
  <c r="I123" i="2"/>
  <c r="H123" i="2"/>
  <c r="I121" i="2"/>
  <c r="H121" i="2"/>
  <c r="G121" i="2"/>
  <c r="B121" i="2"/>
  <c r="I120" i="2"/>
  <c r="H120" i="2"/>
  <c r="I118" i="2"/>
  <c r="H118" i="2"/>
  <c r="G118" i="2"/>
  <c r="B118" i="2"/>
  <c r="H117" i="2"/>
  <c r="H115" i="2"/>
  <c r="H114" i="2"/>
  <c r="H113" i="2"/>
  <c r="H112" i="2"/>
  <c r="I110" i="2"/>
  <c r="H110" i="2"/>
  <c r="G110" i="2"/>
  <c r="B110" i="2"/>
  <c r="I109" i="2"/>
  <c r="H109" i="2"/>
  <c r="I107" i="2"/>
  <c r="H107" i="2"/>
  <c r="G107" i="2"/>
  <c r="B107" i="2"/>
  <c r="I106" i="2"/>
  <c r="H106" i="2"/>
  <c r="G106" i="2"/>
  <c r="I105" i="2"/>
  <c r="H105" i="2"/>
  <c r="G105" i="2"/>
  <c r="H104" i="2"/>
  <c r="I102" i="2"/>
  <c r="H102" i="2"/>
  <c r="G102" i="2"/>
  <c r="B102" i="2"/>
  <c r="H101" i="2"/>
  <c r="I100" i="2"/>
  <c r="H100" i="2"/>
  <c r="G100" i="2"/>
  <c r="I99" i="2"/>
  <c r="H99" i="2"/>
  <c r="I95" i="2"/>
  <c r="H95" i="2"/>
  <c r="G95" i="2"/>
  <c r="I93" i="2"/>
  <c r="H93" i="2"/>
  <c r="G93" i="2"/>
  <c r="B93" i="2"/>
  <c r="H92" i="2"/>
  <c r="I90" i="2"/>
  <c r="H90" i="2"/>
  <c r="G90" i="2"/>
  <c r="B90" i="2"/>
  <c r="I87" i="2"/>
  <c r="H87" i="2"/>
  <c r="G87" i="2"/>
  <c r="B87" i="2"/>
  <c r="J84" i="2"/>
  <c r="I84" i="2"/>
  <c r="H84" i="2"/>
  <c r="G84" i="2"/>
  <c r="B84" i="2"/>
  <c r="I83" i="2"/>
  <c r="H83" i="2"/>
  <c r="I81" i="2"/>
  <c r="H81" i="2"/>
  <c r="G81" i="2"/>
  <c r="B81" i="2"/>
  <c r="G78" i="2"/>
  <c r="J75" i="2"/>
  <c r="J92" i="2" s="1"/>
  <c r="G72" i="2"/>
  <c r="I70" i="2"/>
  <c r="H70" i="2"/>
  <c r="G70" i="2"/>
  <c r="I67" i="2"/>
  <c r="H67" i="2"/>
  <c r="G67" i="2"/>
  <c r="I64" i="2"/>
  <c r="H64" i="2"/>
  <c r="G64" i="2"/>
  <c r="I61" i="2"/>
  <c r="H61" i="2"/>
  <c r="B61" i="2"/>
  <c r="I58" i="2"/>
  <c r="H58" i="2"/>
  <c r="G58" i="2"/>
  <c r="B58" i="2"/>
  <c r="G49" i="2"/>
  <c r="E49" i="2"/>
  <c r="H49" i="2" s="1"/>
  <c r="J43" i="2"/>
  <c r="J48" i="2" s="1"/>
  <c r="H41" i="2"/>
  <c r="I39" i="2"/>
  <c r="H39" i="2"/>
  <c r="G39" i="2"/>
  <c r="B39" i="2"/>
  <c r="K33" i="2"/>
  <c r="F33" i="2"/>
  <c r="E33" i="2"/>
  <c r="D33" i="2"/>
  <c r="F31" i="2"/>
  <c r="E31" i="2"/>
  <c r="F30" i="2"/>
  <c r="E30" i="2"/>
  <c r="C21" i="2"/>
  <c r="F17" i="2"/>
  <c r="E17" i="2"/>
  <c r="C17" i="2"/>
  <c r="B277" i="2" s="1"/>
  <c r="E278" i="2" s="1"/>
  <c r="H278" i="2" s="1"/>
  <c r="F15" i="2"/>
  <c r="G4" i="2"/>
  <c r="I4" i="4" s="1"/>
  <c r="C2" i="2"/>
  <c r="E46" i="1"/>
  <c r="E45" i="1"/>
  <c r="E31" i="1"/>
  <c r="J151" i="2" s="1"/>
  <c r="K30" i="1"/>
  <c r="M4" i="3" s="1"/>
  <c r="Q4" i="3" s="1"/>
  <c r="K27" i="1"/>
  <c r="H27" i="1"/>
  <c r="B20" i="1"/>
  <c r="G19" i="1"/>
  <c r="K355" i="5" s="1"/>
  <c r="L18" i="1"/>
  <c r="H18" i="1"/>
  <c r="M355" i="5" s="1"/>
  <c r="L17" i="1"/>
  <c r="H17" i="1"/>
  <c r="L355" i="5" s="1"/>
  <c r="D17" i="1"/>
  <c r="L16" i="1"/>
  <c r="H16" i="1"/>
  <c r="L15" i="1"/>
  <c r="H15" i="1"/>
  <c r="H19" i="1" s="1"/>
  <c r="L14" i="1"/>
  <c r="L19" i="1" s="1"/>
  <c r="H14" i="1"/>
  <c r="I355" i="5" s="1"/>
  <c r="F11" i="1"/>
  <c r="G10" i="1"/>
  <c r="E10" i="1"/>
  <c r="E9" i="1"/>
  <c r="B231" i="2" s="1"/>
  <c r="C236" i="2" s="1"/>
  <c r="E8" i="1"/>
  <c r="E7" i="1"/>
  <c r="E6" i="1"/>
  <c r="D58" i="4"/>
  <c r="F26" i="4"/>
  <c r="D40" i="4"/>
  <c r="J2" i="4"/>
  <c r="E10" i="4"/>
  <c r="F31" i="4"/>
  <c r="E58" i="4"/>
  <c r="L2" i="4"/>
  <c r="J4" i="4"/>
  <c r="E31" i="4"/>
  <c r="D33" i="4"/>
  <c r="E33" i="4"/>
  <c r="F32" i="4"/>
  <c r="K2" i="4"/>
  <c r="E14" i="4"/>
  <c r="J3" i="4"/>
  <c r="F9" i="4"/>
  <c r="E28" i="4"/>
  <c r="E39" i="4"/>
  <c r="K3" i="4"/>
  <c r="D54" i="4"/>
  <c r="E59" i="4"/>
  <c r="D37" i="4"/>
  <c r="D31" i="4"/>
  <c r="E40" i="4"/>
  <c r="F36" i="4"/>
  <c r="E54" i="4"/>
  <c r="D39" i="4"/>
  <c r="D9" i="4"/>
  <c r="D53" i="4"/>
  <c r="E57" i="4"/>
  <c r="D57" i="4"/>
  <c r="E8" i="4"/>
  <c r="E37" i="4"/>
  <c r="D32" i="4"/>
  <c r="E9" i="4"/>
  <c r="F52" i="4"/>
  <c r="F29" i="4"/>
  <c r="E36" i="4"/>
  <c r="E53" i="4"/>
  <c r="F10" i="4"/>
  <c r="E60" i="4"/>
  <c r="E32" i="4"/>
  <c r="D8" i="4"/>
  <c r="D35" i="4"/>
  <c r="F57" i="4"/>
  <c r="D34" i="4"/>
  <c r="D14" i="4"/>
  <c r="D28" i="4"/>
  <c r="F60" i="4"/>
  <c r="E11" i="4"/>
  <c r="L3" i="4"/>
  <c r="F12" i="4"/>
  <c r="D27" i="4"/>
  <c r="E27" i="4"/>
  <c r="D36" i="4"/>
  <c r="F30" i="4"/>
  <c r="E30" i="4"/>
  <c r="F8" i="4"/>
  <c r="L4" i="4"/>
  <c r="E12" i="4"/>
  <c r="L5" i="4"/>
  <c r="E38" i="4"/>
  <c r="F37" i="4"/>
  <c r="E35" i="4"/>
  <c r="K5" i="4"/>
  <c r="F13" i="4"/>
  <c r="F35" i="4"/>
  <c r="F54" i="4"/>
  <c r="E52" i="4"/>
  <c r="E26" i="4"/>
  <c r="E34" i="4"/>
  <c r="E13" i="4"/>
  <c r="K4" i="4"/>
  <c r="D10" i="4"/>
  <c r="D52" i="4"/>
  <c r="F40" i="4"/>
  <c r="F27" i="4"/>
  <c r="F11" i="4"/>
  <c r="F14" i="4"/>
  <c r="D38" i="4"/>
  <c r="D13" i="4"/>
  <c r="F53" i="4"/>
  <c r="D26" i="4"/>
  <c r="D29" i="4"/>
  <c r="E29" i="4"/>
  <c r="D11" i="4"/>
  <c r="F34" i="4"/>
  <c r="D60" i="4"/>
  <c r="D30" i="4"/>
  <c r="F58" i="4"/>
  <c r="F38" i="4"/>
  <c r="F59" i="4"/>
  <c r="E55" i="4"/>
  <c r="F39" i="4"/>
  <c r="J5" i="4"/>
  <c r="D55" i="4"/>
  <c r="F28" i="4"/>
  <c r="F55" i="4"/>
  <c r="F33" i="4"/>
  <c r="D12" i="4"/>
  <c r="D59" i="4"/>
  <c r="F151" i="5" l="1"/>
  <c r="I321" i="2"/>
  <c r="F153" i="5"/>
  <c r="J49" i="2"/>
  <c r="F32" i="5"/>
  <c r="D25" i="6" s="1"/>
  <c r="F278" i="2"/>
  <c r="I278" i="2" s="1"/>
  <c r="D26" i="6"/>
  <c r="D28" i="6"/>
  <c r="B48" i="5"/>
  <c r="E190" i="2"/>
  <c r="B38" i="5"/>
  <c r="B53" i="5" s="1"/>
  <c r="I332" i="2"/>
  <c r="F159" i="5"/>
  <c r="I320" i="2"/>
  <c r="K34" i="1"/>
  <c r="O4" i="3" s="1"/>
  <c r="S4" i="3" s="1"/>
  <c r="C37" i="3"/>
  <c r="F298" i="2"/>
  <c r="C61" i="3"/>
  <c r="B49" i="2"/>
  <c r="H267" i="2"/>
  <c r="C58" i="4"/>
  <c r="C59" i="4"/>
  <c r="C59" i="3"/>
  <c r="C14" i="6"/>
  <c r="C51" i="6" s="1"/>
  <c r="B263" i="2"/>
  <c r="D14" i="6"/>
  <c r="D36" i="6" s="1"/>
  <c r="F9" i="2"/>
  <c r="I314" i="2" s="1"/>
  <c r="E9" i="2"/>
  <c r="H312" i="2" s="1"/>
  <c r="H314" i="2" s="1"/>
  <c r="D41" i="4"/>
  <c r="E41" i="4"/>
  <c r="F41" i="4"/>
  <c r="D15" i="4"/>
  <c r="E72" i="4" s="1"/>
  <c r="E15" i="4"/>
  <c r="F72" i="4" s="1"/>
  <c r="F15" i="4"/>
  <c r="G72" i="4" s="1"/>
  <c r="D61" i="4"/>
  <c r="E61" i="4"/>
  <c r="F61" i="4"/>
  <c r="C36" i="3"/>
  <c r="C36" i="4"/>
  <c r="F190" i="2"/>
  <c r="I327" i="2"/>
  <c r="B75" i="4"/>
  <c r="C74" i="4"/>
  <c r="H159" i="2"/>
  <c r="E153" i="2"/>
  <c r="H166" i="2"/>
  <c r="H142" i="2"/>
  <c r="E158" i="2"/>
  <c r="H158" i="2" s="1"/>
  <c r="E152" i="2"/>
  <c r="H152" i="2" s="1"/>
  <c r="E303" i="2"/>
  <c r="H156" i="2"/>
  <c r="H86" i="2"/>
  <c r="E155" i="2"/>
  <c r="H155" i="2" s="1"/>
  <c r="H89" i="2"/>
  <c r="H130" i="2"/>
  <c r="H80" i="2"/>
  <c r="E160" i="2"/>
  <c r="H160" i="2" s="1"/>
  <c r="H153" i="2"/>
  <c r="C38" i="4"/>
  <c r="C35" i="3"/>
  <c r="C35" i="4"/>
  <c r="E246" i="2"/>
  <c r="C32" i="3"/>
  <c r="C32" i="4"/>
  <c r="B76" i="3"/>
  <c r="C75" i="3"/>
  <c r="J165" i="2"/>
  <c r="J162" i="2"/>
  <c r="J163" i="2"/>
  <c r="J155" i="2"/>
  <c r="J158" i="2"/>
  <c r="J152" i="2"/>
  <c r="J160" i="2"/>
  <c r="J154" i="2"/>
  <c r="J153" i="2"/>
  <c r="J159" i="2"/>
  <c r="J86" i="2"/>
  <c r="I49" i="2"/>
  <c r="J93" i="2"/>
  <c r="B214" i="2"/>
  <c r="E238" i="2"/>
  <c r="B281" i="2"/>
  <c r="D698" i="5"/>
  <c r="H324" i="2" s="1"/>
  <c r="I4" i="3"/>
  <c r="B44" i="5"/>
  <c r="B52" i="5"/>
  <c r="I326" i="2"/>
  <c r="C60" i="4"/>
  <c r="J129" i="2"/>
  <c r="J87" i="2"/>
  <c r="J98" i="2"/>
  <c r="H190" i="2"/>
  <c r="I245" i="2"/>
  <c r="B45" i="5"/>
  <c r="K354" i="5"/>
  <c r="N354" i="5" s="1"/>
  <c r="C13" i="6"/>
  <c r="C26" i="6"/>
  <c r="D13" i="6"/>
  <c r="F174" i="2"/>
  <c r="H318" i="2"/>
  <c r="H319" i="2" s="1"/>
  <c r="E175" i="2"/>
  <c r="B192" i="2"/>
  <c r="B251" i="2"/>
  <c r="C27" i="6"/>
  <c r="B39" i="5"/>
  <c r="B54" i="5" s="1"/>
  <c r="F176" i="2"/>
  <c r="H330" i="2"/>
  <c r="D189" i="5"/>
  <c r="F189" i="5" s="1"/>
  <c r="F339" i="5"/>
  <c r="I165" i="2" s="1"/>
  <c r="H60" i="2"/>
  <c r="E177" i="2"/>
  <c r="F272" i="2"/>
  <c r="J355" i="5"/>
  <c r="N355" i="5" s="1"/>
  <c r="C28" i="6"/>
  <c r="J44" i="2"/>
  <c r="J83" i="2"/>
  <c r="F177" i="2"/>
  <c r="F229" i="2"/>
  <c r="C37" i="4"/>
  <c r="B40" i="5"/>
  <c r="B55" i="5" s="1"/>
  <c r="G2" i="2"/>
  <c r="J89" i="2"/>
  <c r="J55" i="2"/>
  <c r="G3" i="2"/>
  <c r="J90" i="2"/>
  <c r="E178" i="2"/>
  <c r="I331" i="2"/>
  <c r="E11" i="1"/>
  <c r="F178" i="2"/>
  <c r="L3" i="2"/>
  <c r="M3" i="2" s="1"/>
  <c r="S3" i="3" s="1"/>
  <c r="R30" i="3" s="1"/>
  <c r="C38" i="3"/>
  <c r="E179" i="2"/>
  <c r="F179" i="2"/>
  <c r="I302" i="2" l="1"/>
  <c r="H48" i="2"/>
  <c r="J331" i="2"/>
  <c r="J320" i="2"/>
  <c r="C48" i="6"/>
  <c r="C37" i="6"/>
  <c r="C38" i="6"/>
  <c r="C49" i="6"/>
  <c r="C35" i="6"/>
  <c r="C39" i="6"/>
  <c r="C50" i="6"/>
  <c r="C36" i="6"/>
  <c r="F36" i="6" s="1"/>
  <c r="H320" i="2"/>
  <c r="H321" i="2"/>
  <c r="J326" i="2"/>
  <c r="H55" i="2"/>
  <c r="E14" i="6"/>
  <c r="D49" i="6"/>
  <c r="D35" i="6"/>
  <c r="F35" i="6" s="1"/>
  <c r="D48" i="6"/>
  <c r="D39" i="6"/>
  <c r="F39" i="6" s="1"/>
  <c r="D51" i="6"/>
  <c r="F51" i="6" s="1"/>
  <c r="D38" i="6"/>
  <c r="F38" i="6" s="1"/>
  <c r="D50" i="6"/>
  <c r="D37" i="6"/>
  <c r="H313" i="2"/>
  <c r="H315" i="2"/>
  <c r="I315" i="2"/>
  <c r="I313" i="2"/>
  <c r="D597" i="5"/>
  <c r="D420" i="5"/>
  <c r="D417" i="5"/>
  <c r="D513" i="5"/>
  <c r="D562" i="5"/>
  <c r="D579" i="5"/>
  <c r="F579" i="5" s="1"/>
  <c r="D578" i="5"/>
  <c r="I190" i="2"/>
  <c r="J124" i="2"/>
  <c r="J134" i="2"/>
  <c r="J142" i="2"/>
  <c r="J133" i="2"/>
  <c r="J140" i="2"/>
  <c r="J146" i="2"/>
  <c r="J131" i="2"/>
  <c r="J139" i="2"/>
  <c r="J130" i="2"/>
  <c r="J137" i="2"/>
  <c r="J145" i="2"/>
  <c r="J110" i="2"/>
  <c r="J136" i="2"/>
  <c r="J143" i="2"/>
  <c r="H38" i="2"/>
  <c r="H333" i="2"/>
  <c r="H332" i="2"/>
  <c r="H331" i="2"/>
  <c r="J321" i="2"/>
  <c r="J313" i="2"/>
  <c r="H66" i="2"/>
  <c r="I159" i="2"/>
  <c r="F153" i="2"/>
  <c r="I86" i="2"/>
  <c r="I36" i="2"/>
  <c r="F180" i="2"/>
  <c r="I166" i="2"/>
  <c r="I142" i="2"/>
  <c r="I48" i="2"/>
  <c r="F158" i="2"/>
  <c r="I158" i="2" s="1"/>
  <c r="F152" i="2"/>
  <c r="I152" i="2" s="1"/>
  <c r="I69" i="2"/>
  <c r="I46" i="2"/>
  <c r="I66" i="2"/>
  <c r="I55" i="2"/>
  <c r="I78" i="2"/>
  <c r="I156" i="2"/>
  <c r="I63" i="2"/>
  <c r="I57" i="2"/>
  <c r="I44" i="2"/>
  <c r="I60" i="2"/>
  <c r="F155" i="2"/>
  <c r="I155" i="2" s="1"/>
  <c r="I89" i="2"/>
  <c r="I130" i="2"/>
  <c r="I53" i="2"/>
  <c r="I80" i="2"/>
  <c r="I52" i="2"/>
  <c r="F160" i="2"/>
  <c r="I160" i="2" s="1"/>
  <c r="I153" i="2"/>
  <c r="I38" i="2"/>
  <c r="I76" i="2"/>
  <c r="J332" i="2"/>
  <c r="L2" i="2"/>
  <c r="M2" i="2" s="1"/>
  <c r="Q3" i="3" s="1"/>
  <c r="N30" i="3" s="1"/>
  <c r="I2" i="4"/>
  <c r="I2" i="3"/>
  <c r="G5" i="2"/>
  <c r="H63" i="2"/>
  <c r="H36" i="2"/>
  <c r="H245" i="2"/>
  <c r="J314" i="2"/>
  <c r="H57" i="2"/>
  <c r="C196" i="2"/>
  <c r="E196" i="2"/>
  <c r="F196" i="2"/>
  <c r="I196" i="2" s="1"/>
  <c r="H78" i="2"/>
  <c r="H46" i="2"/>
  <c r="J117" i="2"/>
  <c r="J109" i="2"/>
  <c r="J115" i="2"/>
  <c r="J107" i="2"/>
  <c r="J101" i="2"/>
  <c r="J123" i="2"/>
  <c r="J114" i="2"/>
  <c r="J113" i="2"/>
  <c r="J99" i="2"/>
  <c r="J121" i="2"/>
  <c r="J100" i="2"/>
  <c r="J106" i="2"/>
  <c r="J104" i="2"/>
  <c r="J120" i="2"/>
  <c r="J112" i="2"/>
  <c r="J105" i="2"/>
  <c r="J118" i="2"/>
  <c r="J102" i="2"/>
  <c r="I3" i="3"/>
  <c r="I3" i="4"/>
  <c r="I229" i="2"/>
  <c r="F238" i="2"/>
  <c r="J315" i="2"/>
  <c r="H76" i="2"/>
  <c r="F73" i="4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273" i="2"/>
  <c r="I272" i="2"/>
  <c r="J319" i="2"/>
  <c r="E73" i="4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87" i="4" s="1"/>
  <c r="E88" i="4" s="1"/>
  <c r="E89" i="4" s="1"/>
  <c r="E90" i="4" s="1"/>
  <c r="E91" i="4" s="1"/>
  <c r="E92" i="4" s="1"/>
  <c r="E93" i="4" s="1"/>
  <c r="E94" i="4" s="1"/>
  <c r="E95" i="4" s="1"/>
  <c r="E96" i="4" s="1"/>
  <c r="E97" i="4" s="1"/>
  <c r="E98" i="4" s="1"/>
  <c r="E99" i="4" s="1"/>
  <c r="E100" i="4" s="1"/>
  <c r="E101" i="4" s="1"/>
  <c r="J327" i="2"/>
  <c r="J333" i="2"/>
  <c r="D29" i="6"/>
  <c r="D52" i="6" s="1"/>
  <c r="C29" i="6"/>
  <c r="C52" i="6" s="1"/>
  <c r="J325" i="2"/>
  <c r="H69" i="2"/>
  <c r="H325" i="2"/>
  <c r="H326" i="2"/>
  <c r="H327" i="2"/>
  <c r="H302" i="2"/>
  <c r="B76" i="4"/>
  <c r="C75" i="4"/>
  <c r="C76" i="3"/>
  <c r="B77" i="3"/>
  <c r="H53" i="2"/>
  <c r="J341" i="2"/>
  <c r="F222" i="2"/>
  <c r="I222" i="2" s="1"/>
  <c r="E222" i="2"/>
  <c r="H222" i="2" s="1"/>
  <c r="C222" i="2"/>
  <c r="H44" i="2"/>
  <c r="E180" i="2"/>
  <c r="G73" i="4"/>
  <c r="G74" i="4" s="1"/>
  <c r="G75" i="4" s="1"/>
  <c r="G76" i="4" s="1"/>
  <c r="G77" i="4" s="1"/>
  <c r="G78" i="4" s="1"/>
  <c r="G79" i="4" s="1"/>
  <c r="G80" i="4" s="1"/>
  <c r="G81" i="4" s="1"/>
  <c r="G82" i="4" s="1"/>
  <c r="G83" i="4" s="1"/>
  <c r="G84" i="4" s="1"/>
  <c r="G85" i="4" s="1"/>
  <c r="G86" i="4" s="1"/>
  <c r="G87" i="4" s="1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I325" i="2"/>
  <c r="H52" i="2"/>
  <c r="D32" i="6"/>
  <c r="D34" i="6"/>
  <c r="D33" i="6"/>
  <c r="D47" i="6"/>
  <c r="C32" i="6"/>
  <c r="C34" i="6"/>
  <c r="E13" i="6"/>
  <c r="C33" i="6"/>
  <c r="C47" i="6"/>
  <c r="F181" i="2" l="1"/>
  <c r="J311" i="2"/>
  <c r="C52" i="4" s="1"/>
  <c r="J317" i="2"/>
  <c r="C54" i="3" s="1"/>
  <c r="C10" i="3"/>
  <c r="C9" i="3"/>
  <c r="C11" i="3"/>
  <c r="C8" i="3"/>
  <c r="C14" i="3"/>
  <c r="C56" i="3"/>
  <c r="C13" i="3"/>
  <c r="F48" i="6"/>
  <c r="F49" i="6"/>
  <c r="F52" i="6"/>
  <c r="C12" i="3"/>
  <c r="F50" i="6"/>
  <c r="F37" i="6"/>
  <c r="C13" i="4"/>
  <c r="C14" i="4"/>
  <c r="C54" i="4"/>
  <c r="C55" i="3"/>
  <c r="C55" i="4"/>
  <c r="E15" i="6"/>
  <c r="C60" i="6" s="1"/>
  <c r="F47" i="6"/>
  <c r="F33" i="6"/>
  <c r="F34" i="6"/>
  <c r="F32" i="6"/>
  <c r="B78" i="3"/>
  <c r="C77" i="3"/>
  <c r="C30" i="3"/>
  <c r="C30" i="4"/>
  <c r="C8" i="4"/>
  <c r="I5" i="3"/>
  <c r="I5" i="4"/>
  <c r="C12" i="4"/>
  <c r="C39" i="3"/>
  <c r="C39" i="4"/>
  <c r="C11" i="4"/>
  <c r="B77" i="4"/>
  <c r="C76" i="4"/>
  <c r="I180" i="2"/>
  <c r="F198" i="2"/>
  <c r="C10" i="4"/>
  <c r="C29" i="3"/>
  <c r="C29" i="4"/>
  <c r="F578" i="5"/>
  <c r="E266" i="2"/>
  <c r="H266" i="2" s="1"/>
  <c r="F562" i="5"/>
  <c r="F253" i="2" s="1"/>
  <c r="E253" i="2"/>
  <c r="H180" i="2"/>
  <c r="C9" i="4"/>
  <c r="D514" i="5"/>
  <c r="F514" i="5" s="1"/>
  <c r="F513" i="5"/>
  <c r="D512" i="5"/>
  <c r="F512" i="5" s="1"/>
  <c r="H196" i="2"/>
  <c r="E198" i="2"/>
  <c r="E212" i="2"/>
  <c r="E297" i="2" s="1"/>
  <c r="F417" i="5"/>
  <c r="F212" i="2" s="1"/>
  <c r="F297" i="2" s="1"/>
  <c r="D421" i="5"/>
  <c r="F420" i="5"/>
  <c r="J3" i="2"/>
  <c r="T30" i="3" s="1"/>
  <c r="C58" i="3"/>
  <c r="C57" i="4"/>
  <c r="F597" i="5"/>
  <c r="E272" i="2"/>
  <c r="C15" i="3" l="1"/>
  <c r="D73" i="3" s="1"/>
  <c r="C53" i="4"/>
  <c r="C61" i="4" s="1"/>
  <c r="C53" i="3"/>
  <c r="J2" i="2"/>
  <c r="T29" i="3" s="1"/>
  <c r="C62" i="3"/>
  <c r="C15" i="4"/>
  <c r="D72" i="4" s="1"/>
  <c r="F53" i="6"/>
  <c r="C55" i="6"/>
  <c r="C42" i="1" s="1"/>
  <c r="F3" i="2" s="1"/>
  <c r="C59" i="6"/>
  <c r="C44" i="6"/>
  <c r="D59" i="6" s="1"/>
  <c r="C56" i="6"/>
  <c r="D60" i="6" s="1"/>
  <c r="E43" i="1" s="1"/>
  <c r="F42" i="6"/>
  <c r="C33" i="4"/>
  <c r="C33" i="3"/>
  <c r="E254" i="2"/>
  <c r="H253" i="2"/>
  <c r="F254" i="2"/>
  <c r="I253" i="2"/>
  <c r="C27" i="4"/>
  <c r="C27" i="3"/>
  <c r="E273" i="2"/>
  <c r="H272" i="2"/>
  <c r="H212" i="2"/>
  <c r="H306" i="2" s="1"/>
  <c r="E224" i="2"/>
  <c r="D425" i="5"/>
  <c r="D422" i="5"/>
  <c r="F422" i="5" s="1"/>
  <c r="F421" i="5"/>
  <c r="C26" i="4"/>
  <c r="C26" i="3"/>
  <c r="B78" i="4"/>
  <c r="C77" i="4"/>
  <c r="F224" i="2"/>
  <c r="I212" i="2"/>
  <c r="F299" i="2"/>
  <c r="E299" i="2"/>
  <c r="B79" i="3"/>
  <c r="C78" i="3"/>
  <c r="K33" i="1" l="1"/>
  <c r="O3" i="3" s="1"/>
  <c r="P30" i="3" s="1"/>
  <c r="C37" i="1"/>
  <c r="H2" i="3" s="1"/>
  <c r="C43" i="1"/>
  <c r="H4" i="4" s="1"/>
  <c r="H3" i="3"/>
  <c r="H3" i="4"/>
  <c r="B80" i="3"/>
  <c r="C79" i="3"/>
  <c r="B79" i="4"/>
  <c r="C78" i="4"/>
  <c r="D427" i="5"/>
  <c r="F427" i="5" s="1"/>
  <c r="D426" i="5"/>
  <c r="F425" i="5"/>
  <c r="C28" i="3"/>
  <c r="C28" i="4"/>
  <c r="C34" i="3"/>
  <c r="C34" i="4"/>
  <c r="H307" i="2"/>
  <c r="C31" i="3"/>
  <c r="C31" i="4"/>
  <c r="I307" i="2"/>
  <c r="I306" i="2"/>
  <c r="C61" i="6"/>
  <c r="E37" i="1"/>
  <c r="K29" i="1" s="1"/>
  <c r="C40" i="3" l="1"/>
  <c r="C41" i="3" s="1"/>
  <c r="D74" i="3" s="1"/>
  <c r="D75" i="3" s="1"/>
  <c r="D76" i="3" s="1"/>
  <c r="D77" i="3" s="1"/>
  <c r="D78" i="3" s="1"/>
  <c r="D79" i="3" s="1"/>
  <c r="D80" i="3" s="1"/>
  <c r="D81" i="3" s="1"/>
  <c r="D82" i="3" s="1"/>
  <c r="D83" i="3" s="1"/>
  <c r="D84" i="3" s="1"/>
  <c r="D85" i="3" s="1"/>
  <c r="D86" i="3" s="1"/>
  <c r="D87" i="3" s="1"/>
  <c r="D88" i="3" s="1"/>
  <c r="D89" i="3" s="1"/>
  <c r="D90" i="3" s="1"/>
  <c r="D91" i="3" s="1"/>
  <c r="D92" i="3" s="1"/>
  <c r="D93" i="3" s="1"/>
  <c r="D94" i="3" s="1"/>
  <c r="D95" i="3" s="1"/>
  <c r="D96" i="3" s="1"/>
  <c r="D97" i="3" s="1"/>
  <c r="D98" i="3" s="1"/>
  <c r="D99" i="3" s="1"/>
  <c r="D100" i="3" s="1"/>
  <c r="D101" i="3" s="1"/>
  <c r="D102" i="3" s="1"/>
  <c r="F71" i="3" s="1"/>
  <c r="C40" i="4"/>
  <c r="C41" i="4" s="1"/>
  <c r="D73" i="4" s="1"/>
  <c r="D74" i="4" s="1"/>
  <c r="D75" i="4" s="1"/>
  <c r="D76" i="4" s="1"/>
  <c r="D77" i="4" s="1"/>
  <c r="D78" i="4" s="1"/>
  <c r="D79" i="4" s="1"/>
  <c r="D80" i="4" s="1"/>
  <c r="D81" i="4" s="1"/>
  <c r="D82" i="4" s="1"/>
  <c r="D83" i="4" s="1"/>
  <c r="D84" i="4" s="1"/>
  <c r="D85" i="4" s="1"/>
  <c r="D86" i="4" s="1"/>
  <c r="D87" i="4" s="1"/>
  <c r="D88" i="4" s="1"/>
  <c r="D89" i="4" s="1"/>
  <c r="D90" i="4" s="1"/>
  <c r="D91" i="4" s="1"/>
  <c r="D92" i="4" s="1"/>
  <c r="D93" i="4" s="1"/>
  <c r="D94" i="4" s="1"/>
  <c r="D95" i="4" s="1"/>
  <c r="D96" i="4" s="1"/>
  <c r="D97" i="4" s="1"/>
  <c r="D98" i="4" s="1"/>
  <c r="D99" i="4" s="1"/>
  <c r="D100" i="4" s="1"/>
  <c r="D101" i="4" s="1"/>
  <c r="H2" i="4"/>
  <c r="H4" i="3"/>
  <c r="F4" i="2"/>
  <c r="F2" i="2"/>
  <c r="F426" i="5"/>
  <c r="D430" i="5"/>
  <c r="M3" i="3"/>
  <c r="L30" i="3" s="1"/>
  <c r="E44" i="1"/>
  <c r="F5" i="2" s="1"/>
  <c r="C79" i="4"/>
  <c r="B80" i="4"/>
  <c r="B81" i="3"/>
  <c r="C80" i="3"/>
  <c r="C81" i="3" l="1"/>
  <c r="B82" i="3"/>
  <c r="B81" i="4"/>
  <c r="C80" i="4"/>
  <c r="H5" i="3"/>
  <c r="H5" i="4"/>
  <c r="D432" i="5"/>
  <c r="F432" i="5" s="1"/>
  <c r="F430" i="5"/>
  <c r="D431" i="5"/>
  <c r="F431" i="5" s="1"/>
  <c r="B82" i="4" l="1"/>
  <c r="C81" i="4"/>
  <c r="B83" i="3"/>
  <c r="C82" i="3"/>
  <c r="B84" i="3" l="1"/>
  <c r="C83" i="3"/>
  <c r="C82" i="4"/>
  <c r="B83" i="4"/>
  <c r="B84" i="4" l="1"/>
  <c r="C83" i="4"/>
  <c r="B85" i="3"/>
  <c r="C84" i="3"/>
  <c r="B86" i="3" l="1"/>
  <c r="C85" i="3"/>
  <c r="B85" i="4"/>
  <c r="C84" i="4"/>
  <c r="B86" i="4" l="1"/>
  <c r="C85" i="4"/>
  <c r="B87" i="3"/>
  <c r="C86" i="3"/>
  <c r="B88" i="3" l="1"/>
  <c r="C87" i="3"/>
  <c r="B87" i="4"/>
  <c r="C86" i="4"/>
  <c r="B88" i="4" l="1"/>
  <c r="C87" i="4"/>
  <c r="C88" i="3"/>
  <c r="B89" i="3"/>
  <c r="B90" i="3" l="1"/>
  <c r="C89" i="3"/>
  <c r="B89" i="4"/>
  <c r="C88" i="4"/>
  <c r="C89" i="4" l="1"/>
  <c r="B90" i="4"/>
  <c r="B91" i="3"/>
  <c r="C90" i="3"/>
  <c r="B91" i="4" l="1"/>
  <c r="C90" i="4"/>
  <c r="B92" i="3"/>
  <c r="C91" i="3"/>
  <c r="B93" i="3" l="1"/>
  <c r="C92" i="3"/>
  <c r="B92" i="4"/>
  <c r="C91" i="4"/>
  <c r="C92" i="4" l="1"/>
  <c r="B93" i="4"/>
  <c r="B94" i="3"/>
  <c r="C93" i="3"/>
  <c r="B95" i="3" l="1"/>
  <c r="C94" i="3"/>
  <c r="B94" i="4"/>
  <c r="C93" i="4"/>
  <c r="B95" i="4" l="1"/>
  <c r="C94" i="4"/>
  <c r="C95" i="3"/>
  <c r="B96" i="3"/>
  <c r="C96" i="3" l="1"/>
  <c r="B97" i="3"/>
  <c r="B96" i="4"/>
  <c r="C95" i="4"/>
  <c r="B98" i="3" l="1"/>
  <c r="C97" i="3"/>
  <c r="B97" i="4"/>
  <c r="C96" i="4"/>
  <c r="B98" i="4" l="1"/>
  <c r="C97" i="4"/>
  <c r="B99" i="3"/>
  <c r="C98" i="3"/>
  <c r="B100" i="3" l="1"/>
  <c r="C99" i="3"/>
  <c r="B99" i="4"/>
  <c r="C98" i="4"/>
  <c r="C99" i="4" l="1"/>
  <c r="B100" i="4"/>
  <c r="B101" i="3"/>
  <c r="C100" i="3"/>
  <c r="B101" i="4" l="1"/>
  <c r="C101" i="4" s="1"/>
  <c r="C100" i="4"/>
  <c r="C101" i="3"/>
  <c r="B102" i="3"/>
  <c r="C102" i="3" s="1"/>
</calcChain>
</file>

<file path=xl/sharedStrings.xml><?xml version="1.0" encoding="utf-8"?>
<sst xmlns="http://schemas.openxmlformats.org/spreadsheetml/2006/main" count="2479" uniqueCount="966">
  <si>
    <r>
      <rPr>
        <b/>
        <sz val="20"/>
        <color rgb="FFFFFFFF"/>
        <rFont val="Arial Narrow"/>
        <family val="2"/>
        <charset val="1"/>
      </rPr>
      <t xml:space="preserve">TABLEAU DE BORD : </t>
    </r>
    <r>
      <rPr>
        <sz val="20"/>
        <color rgb="FFFFFFFF"/>
        <rFont val="Arial Narrow"/>
        <family val="2"/>
        <charset val="1"/>
      </rPr>
      <t xml:space="preserve">DESCRIPTION DU PROJET ET DES AMBITIONS CARBONE </t>
    </r>
  </si>
  <si>
    <t>PROJET DE CONSTRUCTION</t>
  </si>
  <si>
    <t>GUIDE § 1.1</t>
  </si>
  <si>
    <t>Nom du projet  :</t>
  </si>
  <si>
    <t>PROJET</t>
  </si>
  <si>
    <t>Nature des travaux :</t>
  </si>
  <si>
    <t>Rénovation et extension</t>
  </si>
  <si>
    <t>Neuf</t>
  </si>
  <si>
    <t>Démolition</t>
  </si>
  <si>
    <t>sans démolition</t>
  </si>
  <si>
    <t>Réhabilitation</t>
  </si>
  <si>
    <t>Typologies :</t>
  </si>
  <si>
    <t>Logements</t>
  </si>
  <si>
    <t>Type de logements :</t>
  </si>
  <si>
    <t>Individuels</t>
  </si>
  <si>
    <t>Tertiaire</t>
  </si>
  <si>
    <t>Type de tertiaire :</t>
  </si>
  <si>
    <t>Bureaux</t>
  </si>
  <si>
    <t>DESCRIPTION DU PROGRAMME</t>
  </si>
  <si>
    <t>§ 1.2</t>
  </si>
  <si>
    <t>Nombre</t>
  </si>
  <si>
    <t>Shab estimée</t>
  </si>
  <si>
    <t>Shab / logement [m²]</t>
  </si>
  <si>
    <t>hab.</t>
  </si>
  <si>
    <t>rénovation</t>
  </si>
  <si>
    <t>T1 :</t>
  </si>
  <si>
    <t>Année des travaux :</t>
  </si>
  <si>
    <t>T2 :</t>
  </si>
  <si>
    <t>Année de construction du bâti existant :</t>
  </si>
  <si>
    <t>T3 :</t>
  </si>
  <si>
    <t>Durée de vie du bâti existant :</t>
  </si>
  <si>
    <t>T4 :</t>
  </si>
  <si>
    <t>neuf</t>
  </si>
  <si>
    <t>T5 et + :</t>
  </si>
  <si>
    <t>Surface habitable de logements [m²] :</t>
  </si>
  <si>
    <t xml:space="preserve">Total </t>
  </si>
  <si>
    <t>kWc PV / 100 m²ha</t>
  </si>
  <si>
    <t>Nouveaux stationnements extérieurs :</t>
  </si>
  <si>
    <t>Surface extérieure minéralisée hors aires de stationnement [m²] :</t>
  </si>
  <si>
    <t>Nouveaux stationnements sous structure :</t>
  </si>
  <si>
    <t>Nouvelles bornes électriques de charge :</t>
  </si>
  <si>
    <t>Transports en commun à proximité :</t>
  </si>
  <si>
    <t>[-]</t>
  </si>
  <si>
    <t>NATURE DU BÂTIMENT EXISTANT</t>
  </si>
  <si>
    <t>§ 1.3</t>
  </si>
  <si>
    <t>Structure :</t>
  </si>
  <si>
    <t>Connaissance des consommations :</t>
  </si>
  <si>
    <t>Construction</t>
  </si>
  <si>
    <t>Clos couvert :</t>
  </si>
  <si>
    <t>Consommations totales :</t>
  </si>
  <si>
    <t>kWh / m².an</t>
  </si>
  <si>
    <t>min</t>
  </si>
  <si>
    <t>Aménagement intérieur :</t>
  </si>
  <si>
    <t>oiseau</t>
  </si>
  <si>
    <t>max</t>
  </si>
  <si>
    <t>Ancienne rénovation :</t>
  </si>
  <si>
    <t>Énergie</t>
  </si>
  <si>
    <t>Note</t>
  </si>
  <si>
    <t>Année de la dernière rénovation :</t>
  </si>
  <si>
    <t>AMBITION CARBONE ENERGIE DU PROJET</t>
  </si>
  <si>
    <t>§ 1.4</t>
  </si>
  <si>
    <t>Note TEC-Tec</t>
  </si>
  <si>
    <t xml:space="preserve">Commentaires ambitions : </t>
  </si>
  <si>
    <t>Volonté carbone de la construction :</t>
  </si>
  <si>
    <t>Empreinte construction cible :</t>
  </si>
  <si>
    <t>Nouvelle installation photovoltaïque :</t>
  </si>
  <si>
    <t>Climatisation ou chauffage / logements :</t>
  </si>
  <si>
    <t>Volonté énergie / logements :</t>
  </si>
  <si>
    <t>Volonté énergie / tertiaire :</t>
  </si>
  <si>
    <t>Consommation d’énergie cible :</t>
  </si>
  <si>
    <t>Empreinte énergie cible :</t>
  </si>
  <si>
    <t>Objectif construction et énergie :</t>
  </si>
  <si>
    <t>Volonté déplacements</t>
  </si>
  <si>
    <t>Volonté autres services</t>
  </si>
  <si>
    <t>EMPREINTE</t>
  </si>
  <si>
    <t>BONUS</t>
  </si>
  <si>
    <t>Points brut</t>
  </si>
  <si>
    <t>net</t>
  </si>
  <si>
    <t>NOM PROJET :</t>
  </si>
  <si>
    <t>Construction :</t>
  </si>
  <si>
    <t>kg CO2e / m²</t>
  </si>
  <si>
    <t>hors démolition d’existants</t>
  </si>
  <si>
    <t>en déplacements</t>
  </si>
  <si>
    <t>Consommations
énergétiques :</t>
  </si>
  <si>
    <t>hors consommations initiales ni production PV, mais compris commissionnement exploitation</t>
  </si>
  <si>
    <t>en restauration</t>
  </si>
  <si>
    <t>kg CO2e / m².an</t>
  </si>
  <si>
    <t>Score TEC-Tec :</t>
  </si>
  <si>
    <t>points TEC-Tec / 100</t>
  </si>
  <si>
    <t>INFORMATION GÉNÉRALES</t>
  </si>
  <si>
    <t>GUIDE</t>
  </si>
  <si>
    <t>BATIMENT(S) NEUF(S)
OU EXTENSION(S)</t>
  </si>
  <si>
    <t>BATIMENT(S)
RENOVÉ(S)</t>
  </si>
  <si>
    <t>UNITÉ</t>
  </si>
  <si>
    <t>EMPREINTE CARBONE</t>
  </si>
  <si>
    <t>COMMENTAIRE</t>
  </si>
  <si>
    <t>Effectifs</t>
  </si>
  <si>
    <t>habitants des logements (20-60 ans, estimation par défaut)</t>
  </si>
  <si>
    <t>§ 2.1</t>
  </si>
  <si>
    <t>personnes</t>
  </si>
  <si>
    <t>personnel du tertiaire</t>
  </si>
  <si>
    <t>élèves ou étudiants</t>
  </si>
  <si>
    <t>visiteurs motorisés (tertiaire)</t>
  </si>
  <si>
    <t>Surface démolie</t>
  </si>
  <si>
    <t>Planchers</t>
  </si>
  <si>
    <t>§ 2.2</t>
  </si>
  <si>
    <t>m²</t>
  </si>
  <si>
    <t>Surface habitable de logements</t>
  </si>
  <si>
    <t>Habitations</t>
  </si>
  <si>
    <t>Surface commune de logements (communs, hall, circulations)</t>
  </si>
  <si>
    <t>Surface utile tertiaire</t>
  </si>
  <si>
    <t>Surface totale</t>
  </si>
  <si>
    <t xml:space="preserve">Surface de la parcelle </t>
  </si>
  <si>
    <t>Parking extérieur (dont voiries)</t>
  </si>
  <si>
    <t>§ 2.3</t>
  </si>
  <si>
    <t>Cheminement extérieur et aire de jeu</t>
  </si>
  <si>
    <t>surface créée (ou rénovée)</t>
  </si>
  <si>
    <t>Emprise au sol</t>
  </si>
  <si>
    <t>surface des rez-de-chaussée et des abris</t>
  </si>
  <si>
    <t>surface hors sous-sol ni coursive ni toiture (SdP)</t>
  </si>
  <si>
    <t>Sous-sols</t>
  </si>
  <si>
    <t>surface totale</t>
  </si>
  <si>
    <t>Façades</t>
  </si>
  <si>
    <t>Coursives extérieures</t>
  </si>
  <si>
    <t>Toitures</t>
  </si>
  <si>
    <t>Rapport SU / SdP</t>
  </si>
  <si>
    <t>§ 2.4</t>
  </si>
  <si>
    <t>Indice de compacité</t>
  </si>
  <si>
    <t>Surface Façades / Surface Planchers</t>
  </si>
  <si>
    <t>CONSTRUCTION</t>
  </si>
  <si>
    <t>kgCO2e neuf</t>
  </si>
  <si>
    <t>kgCO2e rénovation</t>
  </si>
  <si>
    <t>malus travaux
trop précoces</t>
  </si>
  <si>
    <t>CONCEPTION</t>
  </si>
  <si>
    <t>§ 3.1</t>
  </si>
  <si>
    <t>Déplacements lointains</t>
  </si>
  <si>
    <t>trajets entre La Réunion et la métropole</t>
  </si>
  <si>
    <t>aller-retour</t>
  </si>
  <si>
    <t>Variation d’albédo de la parcelle</t>
  </si>
  <si>
    <t>-</t>
  </si>
  <si>
    <t>% de la parcelle</t>
  </si>
  <si>
    <t>Installation de chantier</t>
  </si>
  <si>
    <t>organisation</t>
  </si>
  <si>
    <t>liste déroulante</t>
  </si>
  <si>
    <t>DÉMOLITIONS</t>
  </si>
  <si>
    <t>§ 3.2</t>
  </si>
  <si>
    <t>âge de l’existant :</t>
  </si>
  <si>
    <t>Extérieurs (hors bâtiment)</t>
  </si>
  <si>
    <t>surfaces extérieures minérales</t>
  </si>
  <si>
    <t>Désamiantage</t>
  </si>
  <si>
    <t>tout type d’amiante</t>
  </si>
  <si>
    <t>m² de locaux amiantés</t>
  </si>
  <si>
    <t>Bâtiments anciens</t>
  </si>
  <si>
    <t>% de la surface démolie</t>
  </si>
  <si>
    <t>AMENAGEMENTS EXTERIEURS</t>
  </si>
  <si>
    <t>§ 3.3</t>
  </si>
  <si>
    <t>Changement d’affectation des sols</t>
  </si>
  <si>
    <t>artificialisation nette</t>
  </si>
  <si>
    <t>végétalisation (dont terrasses végétalisées)</t>
  </si>
  <si>
    <t>Réseaux divers</t>
  </si>
  <si>
    <t>nouveaux ou réfection</t>
  </si>
  <si>
    <t>% de réfection</t>
  </si>
  <si>
    <t>Parking</t>
  </si>
  <si>
    <t>% des parkings extérieurs</t>
  </si>
  <si>
    <t>Cheminements et aires de jeu</t>
  </si>
  <si>
    <t>% des cheminements extérieurs
et aires de jeu</t>
  </si>
  <si>
    <t>Clôtures et maçonnerie</t>
  </si>
  <si>
    <t>mètre linéaire</t>
  </si>
  <si>
    <t>Murs de soutènement</t>
  </si>
  <si>
    <t>m³</t>
  </si>
  <si>
    <t>Abris en ossature légère démontable</t>
  </si>
  <si>
    <t>Produit particulier</t>
  </si>
  <si>
    <t>facteur d’émission</t>
  </si>
  <si>
    <t>dénomination</t>
  </si>
  <si>
    <t>quantité mobilisée</t>
  </si>
  <si>
    <t>unité</t>
  </si>
  <si>
    <t>STRUCTURE</t>
  </si>
  <si>
    <t>§ 3.4</t>
  </si>
  <si>
    <t>Terrassements</t>
  </si>
  <si>
    <t>Volume de terrassement</t>
  </si>
  <si>
    <t>Nivellement dans la roche</t>
  </si>
  <si>
    <t>étendue</t>
  </si>
  <si>
    <t>Fondations</t>
  </si>
  <si>
    <t>% de l’emprise au sol</t>
  </si>
  <si>
    <t>Infrastructure</t>
  </si>
  <si>
    <t>% sous-sols</t>
  </si>
  <si>
    <t>% de la surface de planchers</t>
  </si>
  <si>
    <t>Ossature principale</t>
  </si>
  <si>
    <t>% de la surface de coursives</t>
  </si>
  <si>
    <t>CLOS COUVERT</t>
  </si>
  <si>
    <t>§ 3.5</t>
  </si>
  <si>
    <t>Façades pleines</t>
  </si>
  <si>
    <t>% de la surface de façade</t>
  </si>
  <si>
    <t>Façades vitrées</t>
  </si>
  <si>
    <t>Revêtement de façade</t>
  </si>
  <si>
    <t>Isolation des façades</t>
  </si>
  <si>
    <t>Protections solaires neuves</t>
  </si>
  <si>
    <t>en toile, en bois ou en réemploi</t>
  </si>
  <si>
    <t>m²
de volets roulants,
de brise-soleil
ou de casquettes</t>
  </si>
  <si>
    <t>en PVC</t>
  </si>
  <si>
    <t>en acier ou en béton</t>
  </si>
  <si>
    <t>en aluminium</t>
  </si>
  <si>
    <t>Toiture</t>
  </si>
  <si>
    <t>% de la surface de toiture</t>
  </si>
  <si>
    <t>Couverture</t>
  </si>
  <si>
    <t>Isolation des toitures</t>
  </si>
  <si>
    <t>AMÉNAGEMENTS INTERIEURS</t>
  </si>
  <si>
    <t>§ 3.6</t>
  </si>
  <si>
    <t>Plafonnement</t>
  </si>
  <si>
    <t>% de la surface utile</t>
  </si>
  <si>
    <t>Menuiseries intérieures</t>
  </si>
  <si>
    <t>nombre de portes</t>
  </si>
  <si>
    <t>Cloisonnement</t>
  </si>
  <si>
    <t>m² de cloison</t>
  </si>
  <si>
    <t>Garde-corps</t>
  </si>
  <si>
    <t>Revêtements de sols</t>
  </si>
  <si>
    <t>Revêtements muraux</t>
  </si>
  <si>
    <t>m² de paroi</t>
  </si>
  <si>
    <t>EQUIPEMENTS TECHNIQUES</t>
  </si>
  <si>
    <t>§ 3.7</t>
  </si>
  <si>
    <t>ajouter ligne ECS ?</t>
  </si>
  <si>
    <t>Électricité          systèmes (hors ECS)</t>
  </si>
  <si>
    <t>m² de locaux</t>
  </si>
  <si>
    <t>distribution (câblages)</t>
  </si>
  <si>
    <t>brasseurs d’air neufs</t>
  </si>
  <si>
    <t>nombre de brasseurs d’air</t>
  </si>
  <si>
    <t>appareillage</t>
  </si>
  <si>
    <t>bornes de recharge de VE</t>
  </si>
  <si>
    <t>nombre d’IRVE</t>
  </si>
  <si>
    <t>Plomberie – Sanitaires – VMC</t>
  </si>
  <si>
    <t>tuyauteries</t>
  </si>
  <si>
    <t>équipements sanitaires</t>
  </si>
  <si>
    <t>m² de locaux sanitaires</t>
  </si>
  <si>
    <t>ventilation</t>
  </si>
  <si>
    <t>Installations lourdes</t>
  </si>
  <si>
    <t>piscine</t>
  </si>
  <si>
    <t>m³ d’eau</t>
  </si>
  <si>
    <t>ascenseurs</t>
  </si>
  <si>
    <t>nombre d’ascenseurs</t>
  </si>
  <si>
    <t>en équivalent logement ?</t>
  </si>
  <si>
    <t>Production locale d’EnR</t>
  </si>
  <si>
    <t>installation solaire thermique</t>
  </si>
  <si>
    <t>installation photovoltaïque</t>
  </si>
  <si>
    <t>kWc</t>
  </si>
  <si>
    <t>ÉNERGIE</t>
  </si>
  <si>
    <t>kgCO2e neuf / an</t>
  </si>
  <si>
    <t>kgCO2e rénovation / an</t>
  </si>
  <si>
    <t>CONSOMMATIONS INITIALES</t>
  </si>
  <si>
    <t>§ 4.1</t>
  </si>
  <si>
    <t>bâtiment(s) démoli(s)</t>
  </si>
  <si>
    <t>avant rénovation</t>
  </si>
  <si>
    <t>logements</t>
  </si>
  <si>
    <t>bureaux</t>
  </si>
  <si>
    <t>enseignement scolaire</t>
  </si>
  <si>
    <t>enseignement supérieur</t>
  </si>
  <si>
    <t>autre tertiaire (petit commerce)</t>
  </si>
  <si>
    <t>inconnu</t>
  </si>
  <si>
    <t>consommation électrique</t>
  </si>
  <si>
    <t>kWh / an</t>
  </si>
  <si>
    <t>consommation électrique unitaire</t>
  </si>
  <si>
    <t>kWh / m² utile / an</t>
  </si>
  <si>
    <t>CHAUFFAGE</t>
  </si>
  <si>
    <t>§ 4.2</t>
  </si>
  <si>
    <t>performance de l'enveloppe et de son environnement</t>
  </si>
  <si>
    <t>zone chauffée</t>
  </si>
  <si>
    <t>type de chauffage</t>
  </si>
  <si>
    <t>performance énergétique</t>
  </si>
  <si>
    <t>durée de fonctionnement du chauffage</t>
  </si>
  <si>
    <t>consommation électrique des logements</t>
  </si>
  <si>
    <t>RAFRAICHISSEMENT</t>
  </si>
  <si>
    <t>§ 4.3</t>
  </si>
  <si>
    <t>zone avec VN (et attentes pour brasseurs d’air)</t>
  </si>
  <si>
    <t>zone avec VN et brasseurs d’air</t>
  </si>
  <si>
    <t>zone avec climatisation, VN et brasseurs d’air</t>
  </si>
  <si>
    <t>durée de fonctionnement de la climatisation</t>
  </si>
  <si>
    <t>zone avec climatisation et brasseurs d’air</t>
  </si>
  <si>
    <t>zone climatisée</t>
  </si>
  <si>
    <t>puissance installée avec fluide HFC</t>
  </si>
  <si>
    <t>kW frigo.</t>
  </si>
  <si>
    <t>ÉCLAIRAGE INTÉRIEUR</t>
  </si>
  <si>
    <t>§ 4.4</t>
  </si>
  <si>
    <t>performance des équipements et optimisation d'installation</t>
  </si>
  <si>
    <t>communs</t>
  </si>
  <si>
    <t>surface d’éclairage standard</t>
  </si>
  <si>
    <t>surface de vente</t>
  </si>
  <si>
    <t>plage de fonctionnement de l’ensemble</t>
  </si>
  <si>
    <t>ÉCLAIRAGE EXTÉRIEUR</t>
  </si>
  <si>
    <t>§ 4.5</t>
  </si>
  <si>
    <t>Parking extérieur véhicules</t>
  </si>
  <si>
    <t>gestion de l'éclairage</t>
  </si>
  <si>
    <t>zones éclairées</t>
  </si>
  <si>
    <t>Cheminement extérieur piéton</t>
  </si>
  <si>
    <t>TRAITEMENT D'AIR TECHNIQUE</t>
  </si>
  <si>
    <t>§ 4.6</t>
  </si>
  <si>
    <t>nombre de logements équipés de VMC</t>
  </si>
  <si>
    <t>locaux techniques divers</t>
  </si>
  <si>
    <t>locaux</t>
  </si>
  <si>
    <t>locaux techniques climatisés</t>
  </si>
  <si>
    <t>pièce</t>
  </si>
  <si>
    <t>installation VMC des sanitaires</t>
  </si>
  <si>
    <t>FORCES MOTRICES</t>
  </si>
  <si>
    <t>§ 4.7</t>
  </si>
  <si>
    <t>ascenseurs ou monte-charges</t>
  </si>
  <si>
    <t>u</t>
  </si>
  <si>
    <t>Poste à conserver ?</t>
  </si>
  <si>
    <t>CUISINE</t>
  </si>
  <si>
    <t>§ 4.8</t>
  </si>
  <si>
    <t>nombre de cuisines individuelles</t>
  </si>
  <si>
    <t>type de cuisson</t>
  </si>
  <si>
    <t>électrique</t>
  </si>
  <si>
    <t>surface de cuisine</t>
  </si>
  <si>
    <t>type de cuisine</t>
  </si>
  <si>
    <t>eau chaude pour la cuisine</t>
  </si>
  <si>
    <t>consommation de gaz</t>
  </si>
  <si>
    <t>PRISES DE COURANT</t>
  </si>
  <si>
    <t>§ 4.9</t>
  </si>
  <si>
    <t>PC intégrées automatiquement</t>
  </si>
  <si>
    <t>gestion des PC</t>
  </si>
  <si>
    <t>EAU CHAUDE SANITAIRE</t>
  </si>
  <si>
    <t>§ 4.10</t>
  </si>
  <si>
    <t>type de production</t>
  </si>
  <si>
    <t>kWh électrique / an</t>
  </si>
  <si>
    <t>FROID COMMERCIAL</t>
  </si>
  <si>
    <t>§ 4.11</t>
  </si>
  <si>
    <t>surface de chambres froides positives</t>
  </si>
  <si>
    <t>surface de chambres froides négatives</t>
  </si>
  <si>
    <t>performance des systèmes</t>
  </si>
  <si>
    <t>meubles frigorifiques de vente</t>
  </si>
  <si>
    <t>PISCINE</t>
  </si>
  <si>
    <t>§ 4.12</t>
  </si>
  <si>
    <t>chauffage</t>
  </si>
  <si>
    <t>VEHICULES ELECTRIQUES</t>
  </si>
  <si>
    <t>§ 4.13</t>
  </si>
  <si>
    <t>nombre de voitures électriques stationnées</t>
  </si>
  <si>
    <t>véhicules</t>
  </si>
  <si>
    <t>Indications de calcul</t>
  </si>
  <si>
    <t>hors conso. initiales</t>
  </si>
  <si>
    <t>consommation électrique totale</t>
  </si>
  <si>
    <t>consommation de gaz totale</t>
  </si>
  <si>
    <t>consommation énergétique unitaire</t>
  </si>
  <si>
    <t>PRODUCTION D'ÉLECTRICITÉ</t>
  </si>
  <si>
    <t>§ 4.14</t>
  </si>
  <si>
    <t>photovoltaïque</t>
  </si>
  <si>
    <t>production électrique unitaire</t>
  </si>
  <si>
    <t>COMMISSIONNEMENT ET EXPLOITATION</t>
  </si>
  <si>
    <t>§ 4.15</t>
  </si>
  <si>
    <t>commissionnement</t>
  </si>
  <si>
    <t>gestion de l'exploitation</t>
  </si>
  <si>
    <t>Conseil vers un plan de déplacements pour aller plus loin</t>
  </si>
  <si>
    <t>DÉPLACEMENTS</t>
  </si>
  <si>
    <t>Indice nid</t>
  </si>
  <si>
    <t>HABITANTS</t>
  </si>
  <si>
    <t>des logements</t>
  </si>
  <si>
    <t>§ 5.1</t>
  </si>
  <si>
    <t>localisation du projet</t>
  </si>
  <si>
    <t>disponibilité de transports en commun</t>
  </si>
  <si>
    <t>emplacements de voitures électriques</t>
  </si>
  <si>
    <t>emplacements pour deux-roues</t>
  </si>
  <si>
    <t>PERSONNEL</t>
  </si>
  <si>
    <t>§ 5.2</t>
  </si>
  <si>
    <t>ÉLÈVES OU ÉTUDIANTS</t>
  </si>
  <si>
    <t>§ 5.3</t>
  </si>
  <si>
    <t>VISITEURS</t>
  </si>
  <si>
    <t>§ 5.4</t>
  </si>
  <si>
    <t>AUTRES SERVICES</t>
  </si>
  <si>
    <t>Indice
restauration</t>
  </si>
  <si>
    <t>RESTAURATION DU MIDI</t>
  </si>
  <si>
    <t>§ 6.1</t>
  </si>
  <si>
    <t>service quotidien</t>
  </si>
  <si>
    <t>repas / jour</t>
  </si>
  <si>
    <t>ouverture</t>
  </si>
  <si>
    <t>jours / an</t>
  </si>
  <si>
    <t>conseil vers un bilan repas</t>
  </si>
  <si>
    <t>quantité moyenne par personne</t>
  </si>
  <si>
    <t>pour aller plus loin</t>
  </si>
  <si>
    <t>nature des repas servis</t>
  </si>
  <si>
    <t>ACTIVITÉ COMMERCIALE</t>
  </si>
  <si>
    <t>§ 6.2</t>
  </si>
  <si>
    <t>conseil vers un bilan produits</t>
  </si>
  <si>
    <t>surface supplémentaire de vente de produits</t>
  </si>
  <si>
    <t>surface supplémentaire de vente de services</t>
  </si>
  <si>
    <t>ADDUCTION D'EAU</t>
  </si>
  <si>
    <t>§ 6.3</t>
  </si>
  <si>
    <t>conseil vers un bilan hydrique</t>
  </si>
  <si>
    <t>consommation supplémentaire annuelle eau de réseau</t>
  </si>
  <si>
    <t>m³ / an</t>
  </si>
  <si>
    <t>récupération et réutilisation d'eau pluviale</t>
  </si>
  <si>
    <t>TRAITEMENT DES DÉCHETS</t>
  </si>
  <si>
    <t>§ 6.4</t>
  </si>
  <si>
    <t>conseil vers un bilan déchets</t>
  </si>
  <si>
    <t>quantité supplémentaire annuelle de déchets</t>
  </si>
  <si>
    <t>tonnes / an</t>
  </si>
  <si>
    <t>tri sélectif</t>
  </si>
  <si>
    <t xml:space="preserve">Nom du projet  : </t>
  </si>
  <si>
    <t>Projet</t>
  </si>
  <si>
    <t>Empreinte</t>
  </si>
  <si>
    <t>Projet construction</t>
  </si>
  <si>
    <t>Projet énergie</t>
  </si>
  <si>
    <t>Empreinte construction</t>
  </si>
  <si>
    <t>Empreinte énergie</t>
  </si>
  <si>
    <t>tCO2e</t>
  </si>
  <si>
    <t>Conception</t>
  </si>
  <si>
    <t>Démolitions</t>
  </si>
  <si>
    <t>Aménagements extérieurs</t>
  </si>
  <si>
    <t>Structure</t>
  </si>
  <si>
    <t>Clos couvert</t>
  </si>
  <si>
    <t>Aménagements intérieurs</t>
  </si>
  <si>
    <t>Équipements techniques</t>
  </si>
  <si>
    <t>total</t>
  </si>
  <si>
    <t>tCO2e / an</t>
  </si>
  <si>
    <t>Consommations initiales</t>
  </si>
  <si>
    <t>Chauffage</t>
  </si>
  <si>
    <t>Ambitions comparées du projet et de l’empreinte</t>
  </si>
  <si>
    <t>Bonus</t>
  </si>
  <si>
    <t>Rafraîchissement</t>
  </si>
  <si>
    <t>Éclairage intérieur</t>
  </si>
  <si>
    <t>Projet - construction</t>
  </si>
  <si>
    <t>Empreinte - construction</t>
  </si>
  <si>
    <t>Projet - énergie</t>
  </si>
  <si>
    <t>Empreinte - énergie</t>
  </si>
  <si>
    <t>Éclairage extérieur</t>
  </si>
  <si>
    <t>Traitement d’air</t>
  </si>
  <si>
    <t>Forces motrices</t>
  </si>
  <si>
    <t>Cuisine</t>
  </si>
  <si>
    <t>Prises de courant</t>
  </si>
  <si>
    <t>Eau chaude sanitaire</t>
  </si>
  <si>
    <t>Froid commercial</t>
  </si>
  <si>
    <t>Piscine</t>
  </si>
  <si>
    <t>Véhicules électriques</t>
  </si>
  <si>
    <t>Production d’électricité</t>
  </si>
  <si>
    <t>Commissionnement</t>
  </si>
  <si>
    <t>Habitants</t>
  </si>
  <si>
    <t>Personnel</t>
  </si>
  <si>
    <t>Élèves ou étudiants</t>
  </si>
  <si>
    <t>Visiteurs</t>
  </si>
  <si>
    <t>Restauration</t>
  </si>
  <si>
    <t>Activité commerciale</t>
  </si>
  <si>
    <t>Adduction d’eau</t>
  </si>
  <si>
    <t>Traitement des déchets</t>
  </si>
  <si>
    <t>EMISSIONS ANNUALISEES</t>
  </si>
  <si>
    <t>Temps de retour carbone :</t>
  </si>
  <si>
    <t>ans</t>
  </si>
  <si>
    <t xml:space="preserve">Nom des onglets : </t>
  </si>
  <si>
    <t>EMPREINTE (2)</t>
  </si>
  <si>
    <t>EMPREINTE (3)</t>
  </si>
  <si>
    <t>EMPREINTE (4)</t>
  </si>
  <si>
    <t>EMPREINTE_i au lieu de EMPREINTE (i)
en J1:L1 sur la version LibreOffice</t>
  </si>
  <si>
    <t>Dupliquer la feuille Empreinte pour faire apparaître les totaux des postes des colonnes D à F et J1-L4</t>
  </si>
  <si>
    <t>Facteurs de calcul de TEC-Tec 2</t>
  </si>
  <si>
    <t>Rénovation</t>
  </si>
  <si>
    <t>TEC-Tec v1</t>
  </si>
  <si>
    <t>valeur</t>
  </si>
  <si>
    <t>coefficient
réno./neuf</t>
  </si>
  <si>
    <t>durée de vie</t>
  </si>
  <si>
    <t>Commentaire</t>
  </si>
  <si>
    <t>tertiaire neuf</t>
  </si>
  <si>
    <t>NB : valeurs par défaut sur la ligne des « - »</t>
  </si>
  <si>
    <t>hyp. rénovation totale sauf
lot gros-oeuvre déjà amorti</t>
  </si>
  <si>
    <t>TEC-Tec 2 en ACV cumulé dynamique
ABC FE v9 / RE 2020 IC seuils 2025</t>
  </si>
  <si>
    <t>kgCO2e / m²</t>
  </si>
  <si>
    <t>maisons individuelles 425 / 530</t>
  </si>
  <si>
    <t>immeubles de logements 525 / 650</t>
  </si>
  <si>
    <t>bâtiment de bureaux 650 / 810</t>
  </si>
  <si>
    <t>établissement d’enseignement 440 / 770</t>
  </si>
  <si>
    <t>établissement d’enseignement 440 / 850</t>
  </si>
  <si>
    <t>commerce béton 550 / 720</t>
  </si>
  <si>
    <t>Surface extérieure</t>
  </si>
  <si>
    <t>Minéralisation (hors stationnements)</t>
  </si>
  <si>
    <t>artificialisation + cheminements</t>
  </si>
  <si>
    <t>Nouveaux stationnements</t>
  </si>
  <si>
    <t>valeurs avec une hyp. de 20 ou 25 m² / place</t>
  </si>
  <si>
    <t>en extérieur</t>
  </si>
  <si>
    <t>kgCO2e / place</t>
  </si>
  <si>
    <t>idem neuf</t>
  </si>
  <si>
    <t>FE v9 parking classique bitume 73 kgCO2e/m²</t>
  </si>
  <si>
    <t>en souterrain ou en superstructure</t>
  </si>
  <si>
    <t>FE v9 parking classique BA 319 kgCO2e/m²</t>
  </si>
  <si>
    <t>Volonté carbone de la construction</t>
  </si>
  <si>
    <t>coefficient</t>
  </si>
  <si>
    <t>estimation</t>
  </si>
  <si>
    <t>Fourchette TEC-Tec construction</t>
  </si>
  <si>
    <t>pondération</t>
  </si>
  <si>
    <t>points</t>
  </si>
  <si>
    <t>minimum</t>
  </si>
  <si>
    <t>maximum</t>
  </si>
  <si>
    <t>(par défaut)</t>
  </si>
  <si>
    <t>Logements neufs</t>
  </si>
  <si>
    <t>Logements réhabilités</t>
  </si>
  <si>
    <t>Non climatisés</t>
  </si>
  <si>
    <t>Climatisés</t>
  </si>
  <si>
    <t>Chauffés</t>
  </si>
  <si>
    <t>Volonté énergie</t>
  </si>
  <si>
    <t>kWh / m² hab / an</t>
  </si>
  <si>
    <t>kWh / m² u / an</t>
  </si>
  <si>
    <t>FE de l’électricité</t>
  </si>
  <si>
    <t>kg CO2e / kWh</t>
  </si>
  <si>
    <t>Fourchette énergie selon la nature des travaux</t>
  </si>
  <si>
    <t>Fourchette TEC-Tec énergie</t>
  </si>
  <si>
    <t>électricité réunionnaise très carbonée</t>
  </si>
  <si>
    <t>Réno &amp; extension</t>
  </si>
  <si>
    <t>kgCO2e / m² / an</t>
  </si>
  <si>
    <t>Déplacements</t>
  </si>
  <si>
    <t>Livret 5 Prebat (moyenne)</t>
  </si>
  <si>
    <t>École élémentaire + primaire à Gradignan 22</t>
  </si>
  <si>
    <t>hypothèse double (en attente ENSAR)</t>
  </si>
  <si>
    <t>Livret 5 Prebat (chalandise très proche)</t>
  </si>
  <si>
    <t>Transports en commun à proximité</t>
  </si>
  <si>
    <t>Autres services</t>
  </si>
  <si>
    <t>Livret 5 Prebat (logement standard)</t>
  </si>
  <si>
    <t>Livret 5 Prebat (bureaux standards)</t>
  </si>
  <si>
    <t>École élémentaire + primaire à Gradignan 30</t>
  </si>
  <si>
    <t>hypothèse d’équivalence (en attente ENSAR)</t>
  </si>
  <si>
    <t>hypothèse basse de commerce de services</t>
  </si>
  <si>
    <t>Clinker et ciment de Thaïlande et Malaisie
Teralta 1/4 du ciment réunionnais / Malaisie</t>
  </si>
  <si>
    <t>fabrication +
édification</t>
  </si>
  <si>
    <t>kg CO2e / ARM</t>
  </si>
  <si>
    <t>FE v9 long courrier avec traînées 0,152</t>
  </si>
  <si>
    <t>Variation d'albédo de la parcelle</t>
  </si>
  <si>
    <t>ton presque inchangé</t>
  </si>
  <si>
    <t>fonçage (couleur foncée → noir)</t>
  </si>
  <si>
    <t>éclaircissement (couleur foncée → couleur moyenne)</t>
  </si>
  <si>
    <t>fort éclaircissement (couleur foncée → couleur très claire)</t>
  </si>
  <si>
    <t>conventionnelle</t>
  </si>
  <si>
    <t>kgCO2e/SdP</t>
  </si>
  <si>
    <t>chantier vert</t>
  </si>
  <si>
    <t>DEMOLITIONS</t>
  </si>
  <si>
    <t>Malus</t>
  </si>
  <si>
    <t>Extérieurs</t>
  </si>
  <si>
    <t>surfaces extérieures minéralisées</t>
  </si>
  <si>
    <t>surfaces de locaux concernés</t>
  </si>
  <si>
    <t>enfoui ou vitrifié</t>
  </si>
  <si>
    <t>vieux de plus de 50 ans</t>
  </si>
  <si>
    <t>bâtiments en béton de masse</t>
  </si>
  <si>
    <t>FE v9 fin de vie béton 26 kgCO2e/t</t>
  </si>
  <si>
    <t>bâtiments à ossature béton</t>
  </si>
  <si>
    <t>idem</t>
  </si>
  <si>
    <t>bâtiments à ossature métallique</t>
  </si>
  <si>
    <t>bâtiments à ossature bois</t>
  </si>
  <si>
    <t>béton moins carboné</t>
  </si>
  <si>
    <t>Changement d'affectation des sols</t>
  </si>
  <si>
    <t>surface de la parcelle</t>
  </si>
  <si>
    <t>(sans objet)</t>
  </si>
  <si>
    <t>enrobé neuf</t>
  </si>
  <si>
    <t>dalle béton</t>
  </si>
  <si>
    <t>dalle en béton moins carboné</t>
  </si>
  <si>
    <t>pavage béton enherbé</t>
  </si>
  <si>
    <t>autre matériau peu carboné</t>
  </si>
  <si>
    <t>Exemple : structure nid d’abeille végétalisée</t>
  </si>
  <si>
    <t>Cheminements</t>
  </si>
  <si>
    <t>matériau souple</t>
  </si>
  <si>
    <t>dallage béton</t>
  </si>
  <si>
    <t>dallage en béton moins carboné</t>
  </si>
  <si>
    <t>Clôture et maçonnerie</t>
  </si>
  <si>
    <t>grillages</t>
  </si>
  <si>
    <t>kgCO2e / mL</t>
  </si>
  <si>
    <t>parois en bois</t>
  </si>
  <si>
    <t>murets maçonnés ou portails</t>
  </si>
  <si>
    <t>en gabions</t>
  </si>
  <si>
    <t>kgCO2e / m³</t>
  </si>
  <si>
    <t>en béton armé</t>
  </si>
  <si>
    <t>paroi moulée</t>
  </si>
  <si>
    <t>Inclus pertes de coulage</t>
  </si>
  <si>
    <t>Ossatures légères démontables</t>
  </si>
  <si>
    <t>métalliques</t>
  </si>
  <si>
    <t>bois</t>
  </si>
  <si>
    <t>bambou</t>
  </si>
  <si>
    <t>durée de vie 5 à 25 ans selon entretien</t>
  </si>
  <si>
    <t>volume de terrassements</t>
  </si>
  <si>
    <t>kg CO2e / m³</t>
  </si>
  <si>
    <t>superficielles</t>
  </si>
  <si>
    <t>« épaisseur » moyenne 5 cm</t>
  </si>
  <si>
    <t>micropieux</t>
  </si>
  <si>
    <t>pieux béton</t>
  </si>
  <si>
    <t>« épaisseur » moyenne 25 cm</t>
  </si>
  <si>
    <t>logements + 5 kgCO2e/m²</t>
  </si>
  <si>
    <t>avec supplément poteaux, poutres et refends</t>
  </si>
  <si>
    <t>épaisseur moyenne 15 cm</t>
  </si>
  <si>
    <t>plancher béton</t>
  </si>
  <si>
    <t>épaisseur moyenne 22 cm</t>
  </si>
  <si>
    <t>plancher en béton moins carboné</t>
  </si>
  <si>
    <t>radier béton</t>
  </si>
  <si>
    <t>épaisseur moyenne 35 cm</t>
  </si>
  <si>
    <t>radier en béton moins carboné</t>
  </si>
  <si>
    <t>épaisseur moyenne 15 cm avec isolant PSE</t>
  </si>
  <si>
    <t>béton armé</t>
  </si>
  <si>
    <t>épaisseur moyenne 20 cm</t>
  </si>
  <si>
    <t>collaborant métal-béton</t>
  </si>
  <si>
    <t>platelages métalliques</t>
  </si>
  <si>
    <t>collaborant bois-béton</t>
  </si>
  <si>
    <t>ossature et platelage bois</t>
  </si>
  <si>
    <t>bois plein (CLT)</t>
  </si>
  <si>
    <t>logements + 10 %</t>
  </si>
  <si>
    <r>
      <rPr>
        <b/>
        <sz val="10"/>
        <rFont val="Arial"/>
        <family val="2"/>
        <charset val="1"/>
      </rPr>
      <t>Ossature principale</t>
    </r>
    <r>
      <rPr>
        <sz val="10"/>
        <rFont val="Arial"/>
        <family val="2"/>
        <charset val="1"/>
      </rPr>
      <t xml:space="preserve"> (dont refends)</t>
    </r>
  </si>
  <si>
    <t>ossature béton</t>
  </si>
  <si>
    <t>« épaisseur » moyenne 8 cm</t>
  </si>
  <si>
    <t>ossature en béton moins carboné</t>
  </si>
  <si>
    <t>ossature métal</t>
  </si>
  <si>
    <t>60 kg/m²</t>
  </si>
  <si>
    <t>ossature bois</t>
  </si>
  <si>
    <t>35 kg/m²</t>
  </si>
  <si>
    <t>forfait refends béton</t>
  </si>
  <si>
    <t>logements + 20 %</t>
  </si>
  <si>
    <t>en béton</t>
  </si>
  <si>
    <t>en bois</t>
  </si>
  <si>
    <t>en métal</t>
  </si>
  <si>
    <t>mixte</t>
  </si>
  <si>
    <t>recyclage 100 % du métal déposé en réno.</t>
  </si>
  <si>
    <t>voiles béton</t>
  </si>
  <si>
    <t>épaisseur moyenne 18 cm</t>
  </si>
  <si>
    <t>voiles en béton moins carboné</t>
  </si>
  <si>
    <t>maçonnerie</t>
  </si>
  <si>
    <t>maçonnerie moyenne brique / parpaing</t>
  </si>
  <si>
    <t>métallique</t>
  </si>
  <si>
    <t>mur en terre locale</t>
  </si>
  <si>
    <t>Bloc de terre comprimé ép. 20 cm non porteur</t>
  </si>
  <si>
    <t>épaisseur 22 cm sans remplissage</t>
  </si>
  <si>
    <t>bois massif (CLT)</t>
  </si>
  <si>
    <t>avec supplément appuis</t>
  </si>
  <si>
    <t>mur rideau acier et aluminium</t>
  </si>
  <si>
    <t>moyenne acier / aluminium</t>
  </si>
  <si>
    <t>châssis acier vitré</t>
  </si>
  <si>
    <t>châssis aluminium vitré</t>
  </si>
  <si>
    <t>châssis PVC vitré</t>
  </si>
  <si>
    <t>châssis bois vitré</t>
  </si>
  <si>
    <t>châssis réemployé</t>
  </si>
  <si>
    <t>adaptation en tapée</t>
  </si>
  <si>
    <t>peinture</t>
  </si>
  <si>
    <t>enduit</t>
  </si>
  <si>
    <t>briquette</t>
  </si>
  <si>
    <t>pierre locale</t>
  </si>
  <si>
    <t>panneaux minéraux</t>
  </si>
  <si>
    <t>bardage acier</t>
  </si>
  <si>
    <t>bardage aluminium</t>
  </si>
  <si>
    <t>bardage biosourcé</t>
  </si>
  <si>
    <t>ex « bardage bois »</t>
  </si>
  <si>
    <t>paroi réemployée</t>
  </si>
  <si>
    <t>fixations métalliques</t>
  </si>
  <si>
    <t>avec isolant géosourcé ou synthétique</t>
  </si>
  <si>
    <t>moyenne des isolants minéraux</t>
  </si>
  <si>
    <t>avec isolant biosourcé</t>
  </si>
  <si>
    <t>moyenne laine de bois / paille</t>
  </si>
  <si>
    <t>épaisseur 22 cm</t>
  </si>
  <si>
    <t>plancher bois</t>
  </si>
  <si>
    <t>idem CLT tertiaire</t>
  </si>
  <si>
    <t>charpente métallique</t>
  </si>
  <si>
    <t>20 kg/m²</t>
  </si>
  <si>
    <t>charpente bois</t>
  </si>
  <si>
    <t>étanchéité gravillonnée</t>
  </si>
  <si>
    <t>Toiture terrasse</t>
  </si>
  <si>
    <t>couverte en tôle</t>
  </si>
  <si>
    <t>couverture biosourcée</t>
  </si>
  <si>
    <t>épaisseur double / façades</t>
  </si>
  <si>
    <t>AMENAGEMENTS INTERIEURS</t>
  </si>
  <si>
    <t>faux-plafond minéral</t>
  </si>
  <si>
    <t>faux-plafond réemployé</t>
  </si>
  <si>
    <t>dont ossature aluminium neuve</t>
  </si>
  <si>
    <t>kgCO2e / u</t>
  </si>
  <si>
    <t>NB : FE x8 / FE en m² au sol</t>
  </si>
  <si>
    <t>11 portes / 100 m² Hab</t>
  </si>
  <si>
    <t>vitrées</t>
  </si>
  <si>
    <t>réemployées</t>
  </si>
  <si>
    <t>dont serrurerie à moitié neuve</t>
  </si>
  <si>
    <t>plaques de plâtre sur ossature métallique</t>
  </si>
  <si>
    <t>plaques de plâtre sur ossature bois</t>
  </si>
  <si>
    <t>panneaux bois</t>
  </si>
  <si>
    <t>parois vitrées</t>
  </si>
  <si>
    <t>brique de terre crue</t>
  </si>
  <si>
    <t>réemployé</t>
  </si>
  <si>
    <t>dont ossature à moitié neuve</t>
  </si>
  <si>
    <t>maçonnés</t>
  </si>
  <si>
    <t>en verre</t>
  </si>
  <si>
    <t>réemployés</t>
  </si>
  <si>
    <t>dont fixations neuves</t>
  </si>
  <si>
    <t>Revêtements de sol</t>
  </si>
  <si>
    <t>peinture de sol</t>
  </si>
  <si>
    <t>fibre biosourcée</t>
  </si>
  <si>
    <t>moquette</t>
  </si>
  <si>
    <t>sols plastiques</t>
  </si>
  <si>
    <t>carrelage</t>
  </si>
  <si>
    <t>parquet</t>
  </si>
  <si>
    <t>moyenne parquet bois / stratifié</t>
  </si>
  <si>
    <t>faux-plancher technique</t>
  </si>
  <si>
    <t>dont vérins neufs</t>
  </si>
  <si>
    <t>brut</t>
  </si>
  <si>
    <t>toile de verre peinte</t>
  </si>
  <si>
    <t>faïence</t>
  </si>
  <si>
    <t>Électricité</t>
  </si>
  <si>
    <t>sans chauffage ni rafraîchissement actif</t>
  </si>
  <si>
    <t>attentes</t>
  </si>
  <si>
    <t>unique ou mutualisé réversible (split ou PAC)</t>
  </si>
  <si>
    <t>double (chaudière + groupe froid)</t>
  </si>
  <si>
    <t>brasseurs d’air</t>
  </si>
  <si>
    <t>appareillage high tech</t>
  </si>
  <si>
    <t>appareillage standard</t>
  </si>
  <si>
    <t>appareillage low tech</t>
  </si>
  <si>
    <t>tertiaire</t>
  </si>
  <si>
    <t>double / logements</t>
  </si>
  <si>
    <t>VE</t>
  </si>
  <si>
    <t>borne de recharge de VE</t>
  </si>
  <si>
    <t>7 kW</t>
  </si>
  <si>
    <t>kgCO2e / m² de LS</t>
  </si>
  <si>
    <t>ventilation naturelle</t>
  </si>
  <si>
    <t>VMC simple flux</t>
  </si>
  <si>
    <t>VMC double flux</t>
  </si>
  <si>
    <t>équipements techniques seuls en rénovation</t>
  </si>
  <si>
    <t>sans ascenseur</t>
  </si>
  <si>
    <t>petit ascenseur (630 kg de CU)</t>
  </si>
  <si>
    <t>compris voiles de cage en béton
base R+4</t>
  </si>
  <si>
    <t>gros ascenseur (1 t de CU)</t>
  </si>
  <si>
    <t>Production locale d'EnR</t>
  </si>
  <si>
    <r>
      <rPr>
        <sz val="10"/>
        <rFont val="Arial"/>
        <family val="2"/>
        <charset val="1"/>
      </rPr>
      <t>2 m² PST / kW. Compris distribution</t>
    </r>
  </si>
  <si>
    <t>kgCO2e / kWc</t>
  </si>
  <si>
    <t>7 m² PV / kWc</t>
  </si>
  <si>
    <t>ENERGIE</t>
  </si>
  <si>
    <t>consommation par défaut</t>
  </si>
  <si>
    <t>kWh / m²</t>
  </si>
  <si>
    <t>valeurs par défaut sur la ligne des « - »</t>
  </si>
  <si>
    <t>médiocre</t>
  </si>
  <si>
    <t>T1</t>
  </si>
  <si>
    <t>T2</t>
  </si>
  <si>
    <t>T3</t>
  </si>
  <si>
    <t>T4</t>
  </si>
  <si>
    <t>T5 et +</t>
  </si>
  <si>
    <t>correcte</t>
  </si>
  <si>
    <t>nombre</t>
  </si>
  <si>
    <t>performante</t>
  </si>
  <si>
    <t>surface</t>
  </si>
  <si>
    <t>1 T3 par défaut</t>
  </si>
  <si>
    <t>radiants électriques</t>
  </si>
  <si>
    <t>pompe à chaleur</t>
  </si>
  <si>
    <t>référence / logement</t>
  </si>
  <si>
    <t>split réversible</t>
  </si>
  <si>
    <t>équivalence pour transport / insert ou cheminée</t>
  </si>
  <si>
    <t>faible</t>
  </si>
  <si>
    <t>moyenne</t>
  </si>
  <si>
    <t>élevée</t>
  </si>
  <si>
    <t>occasionnel</t>
  </si>
  <si>
    <t>fréquent</t>
  </si>
  <si>
    <t>très fréquent</t>
  </si>
  <si>
    <t>retour sur expérience en attente</t>
  </si>
  <si>
    <t>Fuites de fluide frigorigène</t>
  </si>
  <si>
    <t>charge en fluide HFC</t>
  </si>
  <si>
    <t>kg HFC / kW frigo.</t>
  </si>
  <si>
    <t>taux de fuite</t>
  </si>
  <si>
    <t>% / an</t>
  </si>
  <si>
    <t>kg CO2e / kg HFC</t>
  </si>
  <si>
    <t>zone en ventilation naturelle</t>
  </si>
  <si>
    <t>consommation</t>
  </si>
  <si>
    <t>zone en ventilation naturelle + brasseurs d’air</t>
  </si>
  <si>
    <t>zone en climatisation + ventilation naturelle + brasseurs d'air</t>
  </si>
  <si>
    <t>très faible (environ 1 mois 1/2)</t>
  </si>
  <si>
    <t>occasionnelle (environ 3 mois)</t>
  </si>
  <si>
    <t>fréquente (environ 6 mois)</t>
  </si>
  <si>
    <t>zone en climatisation + brasseurs d'air</t>
  </si>
  <si>
    <t>peu fréquente (environ 4 mois)</t>
  </si>
  <si>
    <t>fréquente (environ 8 mois)</t>
  </si>
  <si>
    <t>permanente (environ 12 mois)</t>
  </si>
  <si>
    <t>zone en climatisation seule</t>
  </si>
  <si>
    <t>durée de fonctionnement</t>
  </si>
  <si>
    <t>ECLAIRAGE INTERIEUR</t>
  </si>
  <si>
    <t>Communs</t>
  </si>
  <si>
    <t>Surface d’éclairage standard</t>
  </si>
  <si>
    <t>Surfaces de vente</t>
  </si>
  <si>
    <t>2 heures / jour</t>
  </si>
  <si>
    <t>heures / jour</t>
  </si>
  <si>
    <t>4 heures / jour</t>
  </si>
  <si>
    <t>7 heures / jour</t>
  </si>
  <si>
    <t>12 heures / jour</t>
  </si>
  <si>
    <t>ECLAIRAGE EXTERIEUR</t>
  </si>
  <si>
    <t>horloge simple</t>
  </si>
  <si>
    <t>horloge astronomique</t>
  </si>
  <si>
    <t>détection de présence</t>
  </si>
  <si>
    <t>interrupteurs temporisés</t>
  </si>
  <si>
    <t>fortement et en totalité</t>
  </si>
  <si>
    <t>kWh / m² / an</t>
  </si>
  <si>
    <t>en totalité</t>
  </si>
  <si>
    <t>partiellement</t>
  </si>
  <si>
    <t>VMC logements</t>
  </si>
  <si>
    <t>kWh / logement / an</t>
  </si>
  <si>
    <t>VMC locaux techniques</t>
  </si>
  <si>
    <t>kWh / local / an</t>
  </si>
  <si>
    <t>kWh / pièce / an</t>
  </si>
  <si>
    <t>installation des sanitaires</t>
  </si>
  <si>
    <t>avec VMC</t>
  </si>
  <si>
    <t>sans VMC</t>
  </si>
  <si>
    <t>consommation unitaire</t>
  </si>
  <si>
    <t>kWh / ascenseur / an</t>
  </si>
  <si>
    <t>au gaz</t>
  </si>
  <si>
    <t>sans production locale</t>
  </si>
  <si>
    <t>liaison froide électrique</t>
  </si>
  <si>
    <t>liaison froide gaz</t>
  </si>
  <si>
    <t>liaison chaude électrique</t>
  </si>
  <si>
    <t>liaison chaude gaz</t>
  </si>
  <si>
    <t>sans (ou sur ECS)</t>
  </si>
  <si>
    <t>solaire + appoint électrique</t>
  </si>
  <si>
    <t>thermodynamique</t>
  </si>
  <si>
    <t>gaz</t>
  </si>
  <si>
    <t>FE du gaz</t>
  </si>
  <si>
    <t>standard</t>
  </si>
  <si>
    <t>prises vertes</t>
  </si>
  <si>
    <t>Type de production</t>
  </si>
  <si>
    <t>sans</t>
  </si>
  <si>
    <t>100 % solaire</t>
  </si>
  <si>
    <t>ballon élec. à accumulateur</t>
  </si>
  <si>
    <t>chauffe-eau instantané</t>
  </si>
  <si>
    <t>chambres froides en tertiaire</t>
  </si>
  <si>
    <t>valeur froid négatif</t>
  </si>
  <si>
    <t>kWh / mL / an</t>
  </si>
  <si>
    <t>non chauffée</t>
  </si>
  <si>
    <t>kWh / m³ / an</t>
  </si>
  <si>
    <t>chauffée</t>
  </si>
  <si>
    <t>consommation (à la recharge)</t>
  </si>
  <si>
    <t>kWh / km</t>
  </si>
  <si>
    <t>facteur d’émission de l’essence/gazole</t>
  </si>
  <si>
    <t>PRODUCTION D’ELECTRICITE</t>
  </si>
  <si>
    <t>production PV</t>
  </si>
  <si>
    <t>kWh / kWc / an</t>
  </si>
  <si>
    <t>en phase avec l'ensoleillement</t>
  </si>
  <si>
    <t>oui</t>
  </si>
  <si>
    <t>non</t>
  </si>
  <si>
    <t>partielle</t>
  </si>
  <si>
    <t>totale</t>
  </si>
  <si>
    <t>(pas de mise à jour de l’enquête mobilité du SMTR datant de 2017 sur données 2016)</t>
  </si>
  <si>
    <t>émission des véhicules (actifs et visiteurs)</t>
  </si>
  <si>
    <t>kg CO2e / km aller / an</t>
  </si>
  <si>
    <t>hyp. 200 gCO2e/km x 200 j/an x AR</t>
  </si>
  <si>
    <t>émission des véhicules (élèves et étudiants)</t>
  </si>
  <si>
    <t>hyp. deux fois moins motorisé</t>
  </si>
  <si>
    <t>taux d’actifs parmi les habitants</t>
  </si>
  <si>
    <t>proportion</t>
  </si>
  <si>
    <t>taux de télétravail (ou de tiers-lieu local)</t>
  </si>
  <si>
    <t>taux de covoiturage des visiteurs</t>
  </si>
  <si>
    <t>personne / voiture</t>
  </si>
  <si>
    <t>aucune</t>
  </si>
  <si>
    <t>une ligne à proximité</t>
  </si>
  <si>
    <t>maillage à proximité</t>
  </si>
  <si>
    <t>aucun</t>
  </si>
  <si>
    <t>symboliques</t>
  </si>
  <si>
    <t>nombreux</t>
  </si>
  <si>
    <t>nombreux + pool de VE</t>
  </si>
  <si>
    <t>local sécurisé sans borne élec.</t>
  </si>
  <si>
    <t>local sécurisé et bornes élec.</t>
  </si>
  <si>
    <t>local sécurisé et offre de VAE</t>
  </si>
  <si>
    <t>moindre</t>
  </si>
  <si>
    <t>stable</t>
  </si>
  <si>
    <t>en augmentation</t>
  </si>
  <si>
    <t>localisation plutôt proche des bassins d’emploi</t>
  </si>
  <si>
    <t>km</t>
  </si>
  <si>
    <t>SMTR 2017-09-22 D-T moyen réunionnais p. 8</t>
  </si>
  <si>
    <t>localisation plutôt éloignée des bassins d’emploi</t>
  </si>
  <si>
    <t>réduction GES</t>
  </si>
  <si>
    <t>localisation plutôt proche des bassins de vie</t>
  </si>
  <si>
    <t>localisation plutôt éloignée des bassins de vie</t>
  </si>
  <si>
    <t>localisation du projet / élèves</t>
  </si>
  <si>
    <t>école de proximité (ou étudiants sur place)</t>
  </si>
  <si>
    <t>SMTR 2017-09-22 scolaires réunionnais p. 11</t>
  </si>
  <si>
    <t>établissement éloigné (ou peu d’étudiants proches)</t>
  </si>
  <si>
    <t>localisation du projet / étudiants</t>
  </si>
  <si>
    <t>SMTR 2017-09-22 étudiants réunionnais p. 11</t>
  </si>
  <si>
    <t>n’entraîne que de petits détours</t>
  </si>
  <si>
    <t>entraîne de longs détours</t>
  </si>
  <si>
    <t>Restauration du midi</t>
  </si>
  <si>
    <t>Ademe 2022 Alimentation durable La Réunion
Insee 2024 Consommations alimentaires p. 125</t>
  </si>
  <si>
    <t>quantité par personne</t>
  </si>
  <si>
    <t>jeune enfant</t>
  </si>
  <si>
    <t>collégien</t>
  </si>
  <si>
    <t>lycéen ou adulte</t>
  </si>
  <si>
    <t>cafétéria ou cantine très carnée</t>
  </si>
  <si>
    <t>kgCO2e / repas</t>
  </si>
  <si>
    <t>FE v9 repas classique poulet 1,35 bœuf 6,29</t>
  </si>
  <si>
    <t>cafétéria ou cantine standard</t>
  </si>
  <si>
    <t>FE v9 repas classique métropolitain 2,04, Insee français 5,5 et Ademe réunion 4,8 / jour</t>
  </si>
  <si>
    <t>cafétéria ou cantine bas carbone</t>
  </si>
  <si>
    <t>FE v9 repas végétarien 0,51</t>
  </si>
  <si>
    <t>repas davantage carnés</t>
  </si>
  <si>
    <t>repas stables</t>
  </si>
  <si>
    <t>repas moins carnés</t>
  </si>
  <si>
    <t>vente de produits</t>
  </si>
  <si>
    <t>estimation basse (livret 5 Prebat 1600 à 2200)</t>
  </si>
  <si>
    <t>vente de services</t>
  </si>
  <si>
    <t>Adduction d'eau</t>
  </si>
  <si>
    <t>consommation annuelle eau de réseau</t>
  </si>
  <si>
    <t>FE v9 traitement des EU 0,16</t>
  </si>
  <si>
    <t>ordures moyennes</t>
  </si>
  <si>
    <t>kg CO2e / t</t>
  </si>
  <si>
    <t>FE v9 ordures ménagères moyennes 386</t>
  </si>
  <si>
    <t>inexistant</t>
  </si>
  <si>
    <t>poussé</t>
  </si>
  <si>
    <t>Calcul des ratios de l’onglet Projet</t>
  </si>
  <si>
    <t>Rubrique</t>
  </si>
  <si>
    <t>Poste</t>
  </si>
  <si>
    <t>(1 = oui, 0 = non)</t>
  </si>
  <si>
    <t>Travaux / présence de :</t>
  </si>
  <si>
    <t>Surfaces (si sélectionnées)</t>
  </si>
  <si>
    <t>réha.</t>
  </si>
  <si>
    <t>neuf + réha.</t>
  </si>
  <si>
    <t>minéralisation (hors stationnements)</t>
  </si>
  <si>
    <t>extérieurs</t>
  </si>
  <si>
    <t>places</t>
  </si>
  <si>
    <t>sous structure</t>
  </si>
  <si>
    <t>Nouvelle installation PV</t>
  </si>
  <si>
    <t>(si sélectionnée)</t>
  </si>
  <si>
    <t>pour info</t>
  </si>
  <si>
    <t>Ambition carbone</t>
  </si>
  <si>
    <t>sélectionné</t>
  </si>
  <si>
    <t>kgCO2e</t>
  </si>
  <si>
    <t>Surfaces extérieures</t>
  </si>
  <si>
    <t>Stationnements</t>
  </si>
  <si>
    <t>Ambition énergie</t>
  </si>
  <si>
    <t>entre 0 et max.</t>
  </si>
  <si>
    <t>points / 100</t>
  </si>
  <si>
    <t>Usage</t>
  </si>
  <si>
    <t xml:space="preserve">Typologie </t>
  </si>
  <si>
    <t>Bâtiment démoli</t>
  </si>
  <si>
    <t xml:space="preserve">Usages logements </t>
  </si>
  <si>
    <t>Usages Tertiaire</t>
  </si>
  <si>
    <t>Structure existante</t>
  </si>
  <si>
    <t xml:space="preserve">Aménagement int. </t>
  </si>
  <si>
    <t>Type de rénovation</t>
  </si>
  <si>
    <t xml:space="preserve">Validation </t>
  </si>
  <si>
    <t>chauffage clim.</t>
  </si>
  <si>
    <t>Ambition logements</t>
  </si>
  <si>
    <t>Ambition tertiaire</t>
  </si>
  <si>
    <t>Ambition déplacements</t>
  </si>
  <si>
    <t>Ambition autres services</t>
  </si>
  <si>
    <t>Sans volonté</t>
  </si>
  <si>
    <t>Structure béton</t>
  </si>
  <si>
    <t>Façades minérales</t>
  </si>
  <si>
    <t>Très cloisonné</t>
  </si>
  <si>
    <t>Aucune</t>
  </si>
  <si>
    <t>Oui</t>
  </si>
  <si>
    <t>Non climatisé</t>
  </si>
  <si>
    <t>RTAA</t>
  </si>
  <si>
    <t>Sans ambition</t>
  </si>
  <si>
    <t>Hors périmètre</t>
  </si>
  <si>
    <t>bâtiment abandonné</t>
  </si>
  <si>
    <t>Ambition modeste</t>
  </si>
  <si>
    <t>Semi-collectifs</t>
  </si>
  <si>
    <t>Enseignement scolaire</t>
  </si>
  <si>
    <t>Structure mixte</t>
  </si>
  <si>
    <t>Façades métalliques</t>
  </si>
  <si>
    <t>Semi cloisonné (mixte)</t>
  </si>
  <si>
    <t>Légère</t>
  </si>
  <si>
    <t>Non</t>
  </si>
  <si>
    <t>Climatisé</t>
  </si>
  <si>
    <t>NF Habitat</t>
  </si>
  <si>
    <t>PERENE</t>
  </si>
  <si>
    <t>A documenter</t>
  </si>
  <si>
    <t>Îlot mixte (logements et tertiaire)</t>
  </si>
  <si>
    <t>bâtiment utilisé</t>
  </si>
  <si>
    <t>Ambition modérée</t>
  </si>
  <si>
    <t>Collectifs</t>
  </si>
  <si>
    <t>Enseignement supérieur</t>
  </si>
  <si>
    <t>Structure biosourcée</t>
  </si>
  <si>
    <t xml:space="preserve">Façades biosourcées </t>
  </si>
  <si>
    <t>Open space</t>
  </si>
  <si>
    <t>Lourde</t>
  </si>
  <si>
    <t>Chauffé</t>
  </si>
  <si>
    <t>PREBAT</t>
  </si>
  <si>
    <t>A optimiser</t>
  </si>
  <si>
    <t>Restauration à optimiser</t>
  </si>
  <si>
    <t>Ambition forte</t>
  </si>
  <si>
    <t>Autre tertiaire (petit commerce)</t>
  </si>
  <si>
    <t>Très lourde</t>
  </si>
  <si>
    <t>Inconnu (livré en blanc)</t>
  </si>
  <si>
    <t>Pourcentages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</si>
</sst>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164" formatCode="00.0&quot; points  / 100&quot;"/>
    <numFmt numFmtId="165" formatCode="#,##0&quot; m²&quot;"/>
    <numFmt numFmtId="166" formatCode="#,##0&quot; ans&quot;"/>
    <numFmt numFmtId="167" formatCode="00&quot; points&quot;"/>
    <numFmt numFmtId="168" formatCode="0&quot; kg équ. CO2 / m²&quot;"/>
    <numFmt numFmtId="169" formatCode="#,##0&quot; points&quot;"/>
    <numFmt numFmtId="170" formatCode="0&quot; kWh / m².an&quot;"/>
    <numFmt numFmtId="171" formatCode="0&quot; kg équ. CO2 / m².an&quot;"/>
    <numFmt numFmtId="172" formatCode="00&quot; kg équ. CO2 / m².an&quot;"/>
    <numFmt numFmtId="173" formatCode="0.00&quot; nid&quot;"/>
    <numFmt numFmtId="174" formatCode="0.00&quot; oeuf&quot;"/>
    <numFmt numFmtId="175" formatCode="#,##0.0"/>
    <numFmt numFmtId="176" formatCode="0.0"/>
    <numFmt numFmtId="177" formatCode="#,#00.0&quot; points&quot;"/>
    <numFmt numFmtId="178" formatCode="0\ %"/>
    <numFmt numFmtId="179" formatCode="&quot;estimée à &quot;#,##0"/>
    <numFmt numFmtId="180" formatCode="&quot;estimée à &quot;#,##0.0"/>
    <numFmt numFmtId="181" formatCode="&quot;estimées à &quot;#,##0&quot; tCO₂ᵉ / an&quot;"/>
    <numFmt numFmtId="182" formatCode="00&quot; points  / 100&quot;"/>
    <numFmt numFmtId="183" formatCode="#,##0.0&quot; nid&quot;"/>
    <numFmt numFmtId="184" formatCode="#,##0.0&quot; oeuf&quot;"/>
    <numFmt numFmtId="185" formatCode="#,##0\ _€;\-#,##0\ _€"/>
    <numFmt numFmtId="186" formatCode="#,##0.000"/>
    <numFmt numFmtId="187" formatCode="0.00&quot; kgCO2e/t.km&quot;"/>
    <numFmt numFmtId="188" formatCode="#,##0&quot; km&quot;"/>
    <numFmt numFmtId="189" formatCode="[$-40C]#,##0"/>
    <numFmt numFmtId="190" formatCode="[$-40C]General"/>
    <numFmt numFmtId="191" formatCode="[$-40C]#,##0&quot;   &quot;;[Red]\-#,##0&quot;   &quot;"/>
    <numFmt numFmtId="192" formatCode="0.000"/>
    <numFmt numFmtId="193" formatCode="0%;\-0%"/>
    <numFmt numFmtId="194" formatCode="00&quot; points  / 30&quot;"/>
    <numFmt numFmtId="195" formatCode="00&quot; points  / 70&quot;"/>
  </numFmts>
  <fonts count="79" x14ac:knownFonts="1">
    <font>
      <sz val="10"/>
      <name val="Arial"/>
      <family val="2"/>
      <charset val="1"/>
    </font>
    <font>
      <sz val="10"/>
      <color rgb="FFFF0000"/>
      <name val="Arial Narrow"/>
      <family val="2"/>
      <charset val="1"/>
    </font>
    <font>
      <b/>
      <sz val="20"/>
      <color rgb="FFFFFFFF"/>
      <name val="Arial Narrow"/>
      <family val="2"/>
      <charset val="1"/>
    </font>
    <font>
      <sz val="20"/>
      <color rgb="FFFFFFFF"/>
      <name val="Arial Narrow"/>
      <family val="2"/>
      <charset val="1"/>
    </font>
    <font>
      <sz val="10"/>
      <color rgb="FF404040"/>
      <name val="Arial Narrow"/>
      <family val="2"/>
      <charset val="1"/>
    </font>
    <font>
      <b/>
      <sz val="16"/>
      <color rgb="FFFFFFFF"/>
      <name val="Arial Narrow"/>
      <family val="2"/>
      <charset val="1"/>
    </font>
    <font>
      <sz val="12"/>
      <color rgb="FFFFFFFF"/>
      <name val="Arial Narrow"/>
      <family val="2"/>
      <charset val="1"/>
    </font>
    <font>
      <sz val="10"/>
      <color rgb="FFFF0000"/>
      <name val="Arial"/>
      <family val="2"/>
      <charset val="1"/>
    </font>
    <font>
      <b/>
      <sz val="10"/>
      <color rgb="FFFF0000"/>
      <name val="Arial Narrow"/>
      <family val="2"/>
      <charset val="1"/>
    </font>
    <font>
      <b/>
      <sz val="11"/>
      <color rgb="FF404040"/>
      <name val="Arial Narrow"/>
      <family val="2"/>
      <charset val="1"/>
    </font>
    <font>
      <b/>
      <sz val="8"/>
      <color rgb="FFFF0000"/>
      <name val="Arial Narrow"/>
      <family val="2"/>
      <charset val="1"/>
    </font>
    <font>
      <b/>
      <sz val="12"/>
      <color rgb="FF404040"/>
      <name val="Arial Narrow"/>
      <family val="2"/>
      <charset val="1"/>
    </font>
    <font>
      <sz val="8"/>
      <color rgb="FF404040"/>
      <name val="Arial Narrow"/>
      <family val="2"/>
      <charset val="1"/>
    </font>
    <font>
      <sz val="10"/>
      <color rgb="FF808080"/>
      <name val="Arial Narrow"/>
      <family val="2"/>
      <charset val="1"/>
    </font>
    <font>
      <b/>
      <sz val="11"/>
      <name val="Arial Narrow"/>
      <family val="2"/>
      <charset val="1"/>
    </font>
    <font>
      <b/>
      <sz val="8"/>
      <color rgb="FFB3C781"/>
      <name val="Arial Narrow"/>
      <family val="2"/>
      <charset val="1"/>
    </font>
    <font>
      <sz val="8"/>
      <color rgb="FFB3C781"/>
      <name val="Arial Narrow"/>
      <family val="2"/>
      <charset val="1"/>
    </font>
    <font>
      <b/>
      <sz val="11"/>
      <color rgb="FF000000"/>
      <name val="Arial Narrow"/>
      <family val="2"/>
      <charset val="1"/>
    </font>
    <font>
      <sz val="10"/>
      <color theme="0"/>
      <name val="Arial"/>
      <family val="2"/>
      <charset val="1"/>
    </font>
    <font>
      <sz val="10"/>
      <color rgb="FFB3C781"/>
      <name val="Arial Narrow"/>
      <family val="2"/>
      <charset val="1"/>
    </font>
    <font>
      <sz val="11"/>
      <color rgb="FFFFFFFF"/>
      <name val="Arial Narrow"/>
      <family val="2"/>
      <charset val="1"/>
    </font>
    <font>
      <sz val="11"/>
      <color rgb="FFB3C781"/>
      <name val="Arial Narrow"/>
      <family val="2"/>
      <charset val="1"/>
    </font>
    <font>
      <sz val="10"/>
      <color rgb="FFFFFFFF"/>
      <name val="Arial Narrow"/>
      <family val="2"/>
      <charset val="1"/>
    </font>
    <font>
      <sz val="10"/>
      <color rgb="FF808080"/>
      <name val="Arial"/>
      <family val="2"/>
      <charset val="1"/>
    </font>
    <font>
      <b/>
      <sz val="11"/>
      <color rgb="FFFFFFFF"/>
      <name val="Arial Narrow"/>
      <family val="2"/>
      <charset val="1"/>
    </font>
    <font>
      <b/>
      <sz val="12"/>
      <name val="Arial Narrow"/>
      <family val="2"/>
      <charset val="1"/>
    </font>
    <font>
      <sz val="10"/>
      <name val="Arial Narrow"/>
      <family val="2"/>
      <charset val="1"/>
    </font>
    <font>
      <b/>
      <sz val="12"/>
      <color rgb="FFB3C781"/>
      <name val="Arial Narrow"/>
      <family val="2"/>
      <charset val="1"/>
    </font>
    <font>
      <sz val="11"/>
      <color rgb="FFFF0000"/>
      <name val="Arial Narrow"/>
      <family val="2"/>
      <charset val="1"/>
    </font>
    <font>
      <i/>
      <sz val="11"/>
      <color rgb="FFFFFFFF"/>
      <name val="Arial Narrow"/>
      <family val="2"/>
      <charset val="1"/>
    </font>
    <font>
      <sz val="10"/>
      <color theme="0"/>
      <name val="Arial Narrow"/>
      <family val="2"/>
      <charset val="1"/>
    </font>
    <font>
      <i/>
      <sz val="12"/>
      <color rgb="FFFFFFFF"/>
      <name val="Arial Narrow"/>
      <family val="2"/>
      <charset val="1"/>
    </font>
    <font>
      <sz val="12"/>
      <color rgb="FF404040"/>
      <name val="Arial Narrow"/>
      <family val="2"/>
      <charset val="1"/>
    </font>
    <font>
      <b/>
      <sz val="14"/>
      <color rgb="FFFFFFFF"/>
      <name val="Arial Narrow"/>
      <family val="2"/>
      <charset val="1"/>
    </font>
    <font>
      <i/>
      <sz val="11"/>
      <name val="Arial Narrow"/>
      <family val="2"/>
      <charset val="1"/>
    </font>
    <font>
      <b/>
      <i/>
      <sz val="11"/>
      <color rgb="FFFFFFFF"/>
      <name val="Arial Narrow"/>
      <family val="2"/>
      <charset val="1"/>
    </font>
    <font>
      <sz val="10"/>
      <color rgb="FFED7D31"/>
      <name val="Arial Narrow"/>
      <family val="2"/>
      <charset val="1"/>
    </font>
    <font>
      <i/>
      <sz val="11"/>
      <color rgb="FFFF0000"/>
      <name val="Arial Narrow"/>
      <family val="2"/>
      <charset val="1"/>
    </font>
    <font>
      <b/>
      <sz val="12"/>
      <color theme="0"/>
      <name val="Arial Narrow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1"/>
    </font>
    <font>
      <b/>
      <sz val="14"/>
      <color rgb="FF404040"/>
      <name val="Arial Narrow"/>
      <family val="2"/>
      <charset val="1"/>
    </font>
    <font>
      <b/>
      <sz val="12"/>
      <color rgb="FFFFFFFF"/>
      <name val="Arial Narrow"/>
      <family val="2"/>
      <charset val="1"/>
    </font>
    <font>
      <sz val="11"/>
      <color rgb="FF404040"/>
      <name val="Arial Narrow"/>
      <family val="2"/>
      <charset val="1"/>
    </font>
    <font>
      <i/>
      <sz val="10"/>
      <name val="Arial Narrow"/>
      <family val="2"/>
      <charset val="1"/>
    </font>
    <font>
      <b/>
      <sz val="10"/>
      <color rgb="FF404040"/>
      <name val="Arial Narrow"/>
      <family val="2"/>
      <charset val="1"/>
    </font>
    <font>
      <b/>
      <sz val="10"/>
      <name val="Arial Narrow"/>
      <family val="2"/>
      <charset val="1"/>
    </font>
    <font>
      <b/>
      <sz val="10"/>
      <color rgb="FF000000"/>
      <name val="Arial Narrow"/>
      <family val="2"/>
      <charset val="1"/>
    </font>
    <font>
      <sz val="9"/>
      <color rgb="FF404040"/>
      <name val="Arial Narrow"/>
      <family val="2"/>
      <charset val="1"/>
    </font>
    <font>
      <i/>
      <sz val="9"/>
      <name val="Arial Narrow"/>
      <family val="2"/>
      <charset val="1"/>
    </font>
    <font>
      <sz val="9"/>
      <name val="Arial Narrow"/>
      <family val="2"/>
      <charset val="1"/>
    </font>
    <font>
      <sz val="10"/>
      <color rgb="FF7F7F7F"/>
      <name val="Arial Narrow"/>
      <family val="2"/>
      <charset val="1"/>
    </font>
    <font>
      <sz val="10"/>
      <color rgb="FF000000"/>
      <name val="Arial Narrow"/>
      <family val="2"/>
      <charset val="1"/>
    </font>
    <font>
      <sz val="8"/>
      <name val="Arial Narrow"/>
      <family val="2"/>
      <charset val="1"/>
    </font>
    <font>
      <i/>
      <sz val="9"/>
      <color rgb="FF808080"/>
      <name val="Arial Narrow"/>
      <family val="2"/>
      <charset val="1"/>
    </font>
    <font>
      <i/>
      <sz val="9"/>
      <color rgb="FF000000"/>
      <name val="Arial Narrow"/>
      <family val="2"/>
      <charset val="1"/>
    </font>
    <font>
      <i/>
      <sz val="9"/>
      <color rgb="FF404040"/>
      <name val="Arial Narrow"/>
      <family val="2"/>
      <charset val="1"/>
    </font>
    <font>
      <sz val="9"/>
      <color rgb="FF000000"/>
      <name val="Arial Narrow"/>
      <family val="2"/>
      <charset val="1"/>
    </font>
    <font>
      <b/>
      <i/>
      <sz val="9"/>
      <color rgb="FF000000"/>
      <name val="Arial Narrow"/>
      <family val="2"/>
      <charset val="1"/>
    </font>
    <font>
      <b/>
      <sz val="11"/>
      <color rgb="FFF9C19A"/>
      <name val="Arial Narrow"/>
      <family val="2"/>
      <charset val="1"/>
    </font>
    <font>
      <b/>
      <sz val="11"/>
      <color rgb="FFF3E09E"/>
      <name val="Arial Narrow"/>
      <family val="2"/>
      <charset val="1"/>
    </font>
    <font>
      <i/>
      <sz val="9"/>
      <color rgb="FF7F7F7F"/>
      <name val="Arial Narrow"/>
      <family val="2"/>
      <charset val="1"/>
    </font>
    <font>
      <sz val="9"/>
      <color rgb="FF7F7F7F"/>
      <name val="Arial Narrow"/>
      <family val="2"/>
      <charset val="1"/>
    </font>
    <font>
      <b/>
      <sz val="10"/>
      <color rgb="FFFF0000"/>
      <name val="Arial"/>
      <family val="2"/>
      <charset val="1"/>
    </font>
    <font>
      <sz val="10"/>
      <color rgb="FF0000FF"/>
      <name val="Arial"/>
      <family val="2"/>
      <charset val="1"/>
    </font>
    <font>
      <b/>
      <sz val="10.5"/>
      <name val="Arial"/>
      <family val="2"/>
      <charset val="1"/>
    </font>
    <font>
      <b/>
      <sz val="10.5"/>
      <color rgb="FF000000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color rgb="FFFFFFFF"/>
      <name val="Arial"/>
      <family val="2"/>
      <charset val="1"/>
    </font>
    <font>
      <sz val="9"/>
      <name val="Arial"/>
      <family val="2"/>
      <charset val="1"/>
    </font>
    <font>
      <sz val="10"/>
      <color rgb="FFFFC000"/>
      <name val="Arial"/>
      <family val="2"/>
      <charset val="1"/>
    </font>
    <font>
      <strike/>
      <sz val="10"/>
      <color rgb="FFFF0000"/>
      <name val="Arial"/>
      <family val="2"/>
      <charset val="1"/>
    </font>
    <font>
      <strike/>
      <sz val="10"/>
      <name val="Arial"/>
      <family val="2"/>
      <charset val="1"/>
    </font>
    <font>
      <sz val="10"/>
      <name val="Arial"/>
      <family val="2"/>
      <charset val="1"/>
    </font>
    <font>
      <sz val="12"/>
      <color theme="0"/>
      <name val="Arial Narrow"/>
      <family val="2"/>
      <charset val="1"/>
    </font>
    <font>
      <b/>
      <sz val="11"/>
      <color theme="1"/>
      <name val="Arial Narrow"/>
      <family val="2"/>
      <charset val="1"/>
    </font>
    <font>
      <b/>
      <sz val="10"/>
      <color rgb="FFB3C781"/>
      <name val="Arial Narrow"/>
      <family val="2"/>
      <charset val="1"/>
    </font>
    <font>
      <sz val="14"/>
      <name val="Arial Narrow"/>
      <family val="2"/>
    </font>
    <font>
      <b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EBF5F5"/>
        <bgColor rgb="FFEBF6F5"/>
      </patternFill>
    </fill>
    <fill>
      <patternFill patternType="solid">
        <fgColor rgb="FF595959"/>
        <bgColor rgb="FF404040"/>
      </patternFill>
    </fill>
    <fill>
      <patternFill patternType="solid">
        <fgColor rgb="FFFFFFFF"/>
        <bgColor rgb="FFF8F8F8"/>
      </patternFill>
    </fill>
    <fill>
      <patternFill patternType="solid">
        <fgColor rgb="FF869F47"/>
        <bgColor rgb="FF579D1C"/>
      </patternFill>
    </fill>
    <fill>
      <patternFill patternType="solid">
        <fgColor rgb="FFB3C781"/>
        <bgColor rgb="FFBFBFBF"/>
      </patternFill>
    </fill>
    <fill>
      <patternFill patternType="solid">
        <fgColor rgb="FFE7EDD7"/>
        <bgColor rgb="FFE6E6E6"/>
      </patternFill>
    </fill>
    <fill>
      <patternFill patternType="solid">
        <fgColor rgb="FF000000"/>
        <bgColor rgb="FF003300"/>
      </patternFill>
    </fill>
    <fill>
      <patternFill patternType="solid">
        <fgColor rgb="FFFFFFCC"/>
        <bgColor rgb="FFFFF2CC"/>
      </patternFill>
    </fill>
    <fill>
      <patternFill patternType="solid">
        <fgColor rgb="FFF8F8F8"/>
        <bgColor rgb="FFF2F2F2"/>
      </patternFill>
    </fill>
    <fill>
      <patternFill patternType="solid">
        <fgColor rgb="FFBFBFBF"/>
        <bgColor rgb="FFC0C0C0"/>
      </patternFill>
    </fill>
    <fill>
      <patternFill patternType="solid">
        <fgColor rgb="FFF2F2F2"/>
        <bgColor rgb="FFEBF5F5"/>
      </patternFill>
    </fill>
    <fill>
      <patternFill patternType="solid">
        <fgColor rgb="FFE6E6E6"/>
        <bgColor rgb="FFE7EDD7"/>
      </patternFill>
    </fill>
    <fill>
      <patternFill patternType="solid">
        <fgColor rgb="FFBEDCDD"/>
        <bgColor rgb="FFCFE7F5"/>
      </patternFill>
    </fill>
    <fill>
      <patternFill patternType="solid">
        <fgColor rgb="FFEBF6F5"/>
        <bgColor rgb="FFEBF5F5"/>
      </patternFill>
    </fill>
    <fill>
      <patternFill patternType="solid">
        <fgColor rgb="FFF9C19A"/>
        <bgColor rgb="FFF3E09E"/>
      </patternFill>
    </fill>
    <fill>
      <patternFill patternType="solid">
        <fgColor rgb="FFFBE5D6"/>
        <bgColor rgb="FFFFF2CC"/>
      </patternFill>
    </fill>
    <fill>
      <patternFill patternType="solid">
        <fgColor rgb="FFF3E09E"/>
        <bgColor rgb="FFFBE5D6"/>
      </patternFill>
    </fill>
    <fill>
      <patternFill patternType="solid">
        <fgColor rgb="FFFFF2CC"/>
        <bgColor rgb="FFFFFFCC"/>
      </patternFill>
    </fill>
    <fill>
      <patternFill patternType="solid">
        <fgColor rgb="FFE6E6FF"/>
        <bgColor rgb="FFE6E6E6"/>
      </patternFill>
    </fill>
    <fill>
      <patternFill patternType="solid">
        <fgColor rgb="FF008000"/>
        <bgColor rgb="FF008080"/>
      </patternFill>
    </fill>
    <fill>
      <patternFill patternType="solid">
        <fgColor rgb="FFC0C0C0"/>
        <bgColor rgb="FFBFBFBF"/>
      </patternFill>
    </fill>
    <fill>
      <patternFill patternType="solid">
        <fgColor rgb="FFD9D9D9"/>
        <bgColor rgb="FFE6E6E6"/>
      </patternFill>
    </fill>
    <fill>
      <patternFill patternType="solid">
        <fgColor rgb="FFB3C781"/>
        <bgColor indexed="64"/>
      </patternFill>
    </fill>
  </fills>
  <borders count="35">
    <border>
      <left/>
      <right/>
      <top/>
      <bottom/>
      <diagonal/>
    </border>
    <border>
      <left/>
      <right style="thin">
        <color rgb="FFB3C781"/>
      </right>
      <top/>
      <bottom/>
      <diagonal/>
    </border>
    <border>
      <left style="thin">
        <color rgb="FFB3C781"/>
      </left>
      <right style="thin">
        <color rgb="FFB3C781"/>
      </right>
      <top/>
      <bottom/>
      <diagonal/>
    </border>
    <border>
      <left/>
      <right/>
      <top/>
      <bottom style="thin">
        <color rgb="FFB3C781"/>
      </bottom>
      <diagonal/>
    </border>
    <border>
      <left/>
      <right/>
      <top style="thin">
        <color rgb="FFB3C781"/>
      </top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D9D9D9"/>
      </left>
      <right style="thin">
        <color rgb="FFD9D9D9"/>
      </right>
      <top/>
      <bottom/>
      <diagonal/>
    </border>
    <border>
      <left/>
      <right/>
      <top style="thin">
        <color rgb="FFD9D9D9"/>
      </top>
      <bottom/>
      <diagonal/>
    </border>
    <border>
      <left style="thin">
        <color rgb="FFD9D9D9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D9D9D9"/>
      </left>
      <right style="thin">
        <color rgb="FFD9D9D9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D9D9D9"/>
      </left>
      <right style="thin">
        <color rgb="FFD9D9D9"/>
      </right>
      <top style="thin">
        <color theme="0" tint="-0.249977111117893"/>
      </top>
      <bottom/>
      <diagonal/>
    </border>
  </borders>
  <cellStyleXfs count="4">
    <xf numFmtId="0" fontId="0" fillId="0" borderId="0">
      <protection locked="0" hidden="1"/>
    </xf>
    <xf numFmtId="178" fontId="73" fillId="0" borderId="0" applyBorder="0">
      <protection locked="0" hidden="1"/>
    </xf>
    <xf numFmtId="0" fontId="73" fillId="0" borderId="0" applyBorder="0">
      <protection locked="0" hidden="1"/>
    </xf>
    <xf numFmtId="0" fontId="23" fillId="2" borderId="0" applyBorder="0">
      <protection locked="0"/>
    </xf>
  </cellStyleXfs>
  <cellXfs count="733">
    <xf numFmtId="0" fontId="0" fillId="0" borderId="0" xfId="0">
      <protection locked="0" hidden="1"/>
    </xf>
    <xf numFmtId="3" fontId="26" fillId="0" borderId="6" xfId="0" applyNumberFormat="1" applyFont="1" applyBorder="1" applyAlignment="1" applyProtection="1">
      <alignment horizontal="center" vertical="center"/>
      <protection locked="0"/>
    </xf>
    <xf numFmtId="3" fontId="22" fillId="6" borderId="0" xfId="0" applyNumberFormat="1" applyFont="1" applyFill="1" applyAlignment="1" applyProtection="1">
      <alignment horizontal="left" vertical="center" wrapText="1"/>
    </xf>
    <xf numFmtId="0" fontId="17" fillId="0" borderId="0" xfId="0" applyFont="1" applyAlignment="1" applyProtection="1">
      <alignment horizontal="center" vertical="center"/>
      <protection locked="0"/>
    </xf>
    <xf numFmtId="164" fontId="14" fillId="0" borderId="0" xfId="0" applyNumberFormat="1" applyFont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horizontal="center" vertical="center"/>
      <protection locked="0"/>
    </xf>
    <xf numFmtId="0" fontId="0" fillId="0" borderId="0" xfId="0" applyProtection="1"/>
    <xf numFmtId="0" fontId="1" fillId="3" borderId="0" xfId="0" applyFont="1" applyFill="1" applyAlignment="1" applyProtection="1">
      <alignment horizontal="center"/>
    </xf>
    <xf numFmtId="0" fontId="2" fillId="3" borderId="0" xfId="0" applyFont="1" applyFill="1" applyAlignment="1" applyProtection="1">
      <alignment vertical="center"/>
    </xf>
    <xf numFmtId="0" fontId="4" fillId="3" borderId="0" xfId="0" applyFont="1" applyFill="1" applyProtection="1"/>
    <xf numFmtId="3" fontId="4" fillId="3" borderId="0" xfId="0" applyNumberFormat="1" applyFont="1" applyFill="1" applyAlignment="1" applyProtection="1">
      <alignment horizontal="center"/>
    </xf>
    <xf numFmtId="3" fontId="4" fillId="3" borderId="1" xfId="0" applyNumberFormat="1" applyFont="1" applyFill="1" applyBorder="1" applyAlignment="1" applyProtection="1">
      <alignment horizontal="center"/>
    </xf>
    <xf numFmtId="0" fontId="0" fillId="3" borderId="0" xfId="0" applyFill="1" applyProtection="1"/>
    <xf numFmtId="0" fontId="1" fillId="4" borderId="0" xfId="0" applyFont="1" applyFill="1" applyAlignment="1" applyProtection="1">
      <alignment horizontal="center"/>
    </xf>
    <xf numFmtId="0" fontId="5" fillId="5" borderId="0" xfId="0" applyFont="1" applyFill="1" applyAlignment="1" applyProtection="1">
      <alignment horizontal="left" vertical="center"/>
    </xf>
    <xf numFmtId="0" fontId="6" fillId="5" borderId="0" xfId="0" applyFont="1" applyFill="1" applyAlignment="1" applyProtection="1">
      <alignment horizontal="center" vertical="center"/>
    </xf>
    <xf numFmtId="0" fontId="4" fillId="5" borderId="0" xfId="0" applyFont="1" applyFill="1" applyProtection="1"/>
    <xf numFmtId="3" fontId="4" fillId="5" borderId="0" xfId="0" applyNumberFormat="1" applyFont="1" applyFill="1" applyAlignment="1" applyProtection="1">
      <alignment horizontal="center"/>
    </xf>
    <xf numFmtId="0" fontId="4" fillId="6" borderId="0" xfId="0" applyFont="1" applyFill="1" applyProtection="1"/>
    <xf numFmtId="3" fontId="4" fillId="6" borderId="0" xfId="0" applyNumberFormat="1" applyFont="1" applyFill="1" applyAlignment="1" applyProtection="1">
      <alignment horizontal="center"/>
    </xf>
    <xf numFmtId="3" fontId="4" fillId="6" borderId="1" xfId="0" applyNumberFormat="1" applyFont="1" applyFill="1" applyBorder="1" applyAlignment="1" applyProtection="1">
      <alignment horizontal="center"/>
    </xf>
    <xf numFmtId="0" fontId="7" fillId="0" borderId="0" xfId="0" applyFont="1" applyProtection="1"/>
    <xf numFmtId="0" fontId="5" fillId="6" borderId="0" xfId="0" applyFont="1" applyFill="1" applyAlignment="1" applyProtection="1">
      <alignment horizontal="center" vertical="center"/>
    </xf>
    <xf numFmtId="0" fontId="8" fillId="4" borderId="0" xfId="0" applyFont="1" applyFill="1" applyAlignment="1" applyProtection="1">
      <alignment horizontal="center" vertical="center"/>
    </xf>
    <xf numFmtId="0" fontId="6" fillId="6" borderId="0" xfId="0" applyFont="1" applyFill="1" applyAlignment="1" applyProtection="1">
      <alignment horizontal="right" vertical="center"/>
    </xf>
    <xf numFmtId="3" fontId="10" fillId="6" borderId="0" xfId="0" applyNumberFormat="1" applyFont="1" applyFill="1" applyAlignment="1" applyProtection="1">
      <alignment horizontal="right" vertical="center"/>
    </xf>
    <xf numFmtId="3" fontId="11" fillId="6" borderId="1" xfId="0" applyNumberFormat="1" applyFont="1" applyFill="1" applyBorder="1" applyAlignment="1" applyProtection="1">
      <alignment vertical="center"/>
    </xf>
    <xf numFmtId="4" fontId="12" fillId="6" borderId="2" xfId="0" applyNumberFormat="1" applyFont="1" applyFill="1" applyBorder="1" applyAlignment="1" applyProtection="1">
      <alignment horizontal="center" vertical="center"/>
    </xf>
    <xf numFmtId="0" fontId="1" fillId="4" borderId="0" xfId="0" applyFont="1" applyFill="1" applyAlignment="1" applyProtection="1">
      <alignment horizontal="center" vertical="center"/>
    </xf>
    <xf numFmtId="3" fontId="4" fillId="6" borderId="0" xfId="0" applyNumberFormat="1" applyFont="1" applyFill="1" applyAlignment="1" applyProtection="1">
      <alignment horizontal="center" vertical="center"/>
    </xf>
    <xf numFmtId="3" fontId="13" fillId="6" borderId="0" xfId="0" applyNumberFormat="1" applyFont="1" applyFill="1" applyAlignment="1" applyProtection="1">
      <alignment horizontal="center" vertical="center"/>
    </xf>
    <xf numFmtId="3" fontId="4" fillId="6" borderId="2" xfId="0" applyNumberFormat="1" applyFont="1" applyFill="1" applyBorder="1" applyAlignment="1" applyProtection="1">
      <alignment horizontal="center" vertical="center"/>
    </xf>
    <xf numFmtId="3" fontId="10" fillId="4" borderId="0" xfId="0" applyNumberFormat="1" applyFont="1" applyFill="1" applyAlignment="1" applyProtection="1">
      <alignment horizontal="center" vertical="center"/>
    </xf>
    <xf numFmtId="3" fontId="15" fillId="6" borderId="0" xfId="0" applyNumberFormat="1" applyFont="1" applyFill="1" applyAlignment="1" applyProtection="1">
      <alignment horizontal="center" vertical="center"/>
    </xf>
    <xf numFmtId="3" fontId="16" fillId="6" borderId="0" xfId="0" applyNumberFormat="1" applyFont="1" applyFill="1" applyAlignment="1" applyProtection="1">
      <alignment horizontal="left" vertical="center"/>
    </xf>
    <xf numFmtId="0" fontId="18" fillId="0" borderId="0" xfId="0" applyFont="1" applyProtection="1"/>
    <xf numFmtId="0" fontId="4" fillId="6" borderId="2" xfId="0" applyFont="1" applyFill="1" applyBorder="1" applyAlignment="1" applyProtection="1">
      <alignment vertical="center"/>
    </xf>
    <xf numFmtId="3" fontId="19" fillId="6" borderId="0" xfId="0" applyNumberFormat="1" applyFont="1" applyFill="1" applyAlignment="1" applyProtection="1">
      <alignment horizontal="left"/>
    </xf>
    <xf numFmtId="0" fontId="1" fillId="6" borderId="0" xfId="0" applyFont="1" applyFill="1" applyAlignment="1" applyProtection="1">
      <alignment vertical="center"/>
    </xf>
    <xf numFmtId="0" fontId="19" fillId="6" borderId="2" xfId="0" applyFont="1" applyFill="1" applyBorder="1" applyAlignment="1" applyProtection="1">
      <alignment vertical="center"/>
    </xf>
    <xf numFmtId="0" fontId="1" fillId="5" borderId="0" xfId="0" applyFont="1" applyFill="1" applyAlignment="1" applyProtection="1">
      <alignment vertical="center"/>
    </xf>
    <xf numFmtId="3" fontId="15" fillId="5" borderId="0" xfId="0" applyNumberFormat="1" applyFont="1" applyFill="1" applyAlignment="1" applyProtection="1">
      <alignment horizontal="center" vertical="center"/>
    </xf>
    <xf numFmtId="3" fontId="16" fillId="5" borderId="0" xfId="0" applyNumberFormat="1" applyFont="1" applyFill="1" applyAlignment="1" applyProtection="1">
      <alignment horizontal="left" vertical="center"/>
    </xf>
    <xf numFmtId="0" fontId="0" fillId="6" borderId="0" xfId="0" applyFill="1" applyProtection="1"/>
    <xf numFmtId="0" fontId="20" fillId="6" borderId="0" xfId="0" applyFont="1" applyFill="1" applyAlignment="1" applyProtection="1">
      <alignment horizontal="left" vertical="center" indent="1"/>
    </xf>
    <xf numFmtId="164" fontId="20" fillId="6" borderId="0" xfId="0" applyNumberFormat="1" applyFont="1" applyFill="1" applyAlignment="1" applyProtection="1">
      <alignment horizontal="center" vertical="center"/>
    </xf>
    <xf numFmtId="3" fontId="6" fillId="6" borderId="0" xfId="0" applyNumberFormat="1" applyFont="1" applyFill="1" applyAlignment="1" applyProtection="1">
      <alignment horizontal="center" vertical="center"/>
    </xf>
    <xf numFmtId="0" fontId="6" fillId="6" borderId="0" xfId="0" applyFont="1" applyFill="1" applyAlignment="1" applyProtection="1">
      <alignment horizontal="center" vertical="center"/>
    </xf>
    <xf numFmtId="3" fontId="21" fillId="6" borderId="2" xfId="0" applyNumberFormat="1" applyFont="1" applyFill="1" applyBorder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</xf>
    <xf numFmtId="0" fontId="22" fillId="6" borderId="0" xfId="0" applyFont="1" applyFill="1" applyAlignment="1" applyProtection="1">
      <alignment horizontal="center" vertical="center"/>
    </xf>
    <xf numFmtId="3" fontId="14" fillId="0" borderId="0" xfId="3" applyNumberFormat="1" applyFont="1" applyFill="1" applyBorder="1" applyAlignment="1">
      <alignment horizontal="center" vertical="center"/>
      <protection locked="0"/>
    </xf>
    <xf numFmtId="165" fontId="20" fillId="6" borderId="0" xfId="3" applyNumberFormat="1" applyFont="1" applyFill="1" applyBorder="1" applyAlignment="1" applyProtection="1">
      <alignment horizontal="center" vertical="center"/>
    </xf>
    <xf numFmtId="0" fontId="21" fillId="6" borderId="2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 vertical="center"/>
      <protection locked="0"/>
    </xf>
    <xf numFmtId="3" fontId="14" fillId="0" borderId="0" xfId="0" applyNumberFormat="1" applyFont="1" applyAlignment="1" applyProtection="1">
      <alignment horizontal="center" vertical="center"/>
      <protection locked="0"/>
    </xf>
    <xf numFmtId="0" fontId="24" fillId="6" borderId="0" xfId="0" applyFont="1" applyFill="1" applyAlignment="1" applyProtection="1">
      <alignment horizontal="center" vertical="center"/>
    </xf>
    <xf numFmtId="166" fontId="20" fillId="6" borderId="0" xfId="0" applyNumberFormat="1" applyFont="1" applyFill="1" applyAlignment="1" applyProtection="1">
      <alignment horizontal="center" vertical="center"/>
    </xf>
    <xf numFmtId="0" fontId="6" fillId="6" borderId="3" xfId="0" applyFont="1" applyFill="1" applyBorder="1" applyAlignment="1" applyProtection="1">
      <alignment horizontal="right" vertical="center"/>
    </xf>
    <xf numFmtId="165" fontId="6" fillId="6" borderId="3" xfId="0" applyNumberFormat="1" applyFont="1" applyFill="1" applyBorder="1" applyAlignment="1" applyProtection="1">
      <alignment horizontal="center" vertical="center"/>
    </xf>
    <xf numFmtId="165" fontId="6" fillId="6" borderId="0" xfId="0" applyNumberFormat="1" applyFont="1" applyFill="1" applyAlignment="1" applyProtection="1">
      <alignment horizontal="center" vertical="center"/>
    </xf>
    <xf numFmtId="0" fontId="21" fillId="6" borderId="2" xfId="0" applyFont="1" applyFill="1" applyBorder="1" applyAlignment="1" applyProtection="1">
      <alignment horizontal="center" vertical="center"/>
    </xf>
    <xf numFmtId="0" fontId="4" fillId="6" borderId="0" xfId="0" applyFont="1" applyFill="1" applyAlignment="1" applyProtection="1">
      <alignment horizontal="left" vertical="center" indent="1"/>
    </xf>
    <xf numFmtId="0" fontId="14" fillId="0" borderId="4" xfId="0" applyFont="1" applyBorder="1" applyAlignment="1" applyProtection="1">
      <alignment horizontal="center" vertical="center"/>
      <protection locked="0"/>
    </xf>
    <xf numFmtId="3" fontId="25" fillId="6" borderId="1" xfId="0" applyNumberFormat="1" applyFont="1" applyFill="1" applyBorder="1" applyAlignment="1" applyProtection="1">
      <alignment vertical="center"/>
    </xf>
    <xf numFmtId="0" fontId="26" fillId="6" borderId="2" xfId="0" applyFont="1" applyFill="1" applyBorder="1" applyAlignment="1" applyProtection="1">
      <alignment vertical="center"/>
    </xf>
    <xf numFmtId="3" fontId="27" fillId="6" borderId="1" xfId="0" applyNumberFormat="1" applyFont="1" applyFill="1" applyBorder="1" applyAlignment="1" applyProtection="1">
      <alignment vertical="center"/>
    </xf>
    <xf numFmtId="0" fontId="28" fillId="4" borderId="0" xfId="0" applyFont="1" applyFill="1" applyAlignment="1" applyProtection="1">
      <alignment horizontal="center" vertical="center"/>
    </xf>
    <xf numFmtId="0" fontId="20" fillId="5" borderId="0" xfId="0" applyFont="1" applyFill="1" applyAlignment="1" applyProtection="1">
      <alignment horizontal="left" vertical="center" indent="1"/>
    </xf>
    <xf numFmtId="164" fontId="20" fillId="5" borderId="0" xfId="0" applyNumberFormat="1" applyFont="1" applyFill="1" applyAlignment="1" applyProtection="1">
      <alignment horizontal="center" vertical="center"/>
    </xf>
    <xf numFmtId="0" fontId="20" fillId="5" borderId="0" xfId="0" applyFont="1" applyFill="1" applyAlignment="1" applyProtection="1">
      <alignment horizontal="center" vertical="center"/>
    </xf>
    <xf numFmtId="3" fontId="29" fillId="5" borderId="0" xfId="0" applyNumberFormat="1" applyFont="1" applyFill="1" applyAlignment="1" applyProtection="1">
      <alignment horizontal="center" vertical="center"/>
    </xf>
    <xf numFmtId="3" fontId="29" fillId="6" borderId="0" xfId="0" applyNumberFormat="1" applyFont="1" applyFill="1" applyAlignment="1" applyProtection="1">
      <alignment horizontal="center" vertical="center"/>
    </xf>
    <xf numFmtId="0" fontId="21" fillId="6" borderId="0" xfId="0" applyFont="1" applyFill="1" applyAlignment="1" applyProtection="1">
      <alignment horizontal="center" vertical="center"/>
    </xf>
    <xf numFmtId="0" fontId="19" fillId="6" borderId="1" xfId="0" applyFont="1" applyFill="1" applyBorder="1" applyAlignment="1" applyProtection="1">
      <alignment vertical="center"/>
    </xf>
    <xf numFmtId="0" fontId="30" fillId="0" borderId="0" xfId="0" applyFont="1" applyAlignment="1" applyProtection="1">
      <alignment horizontal="left"/>
    </xf>
    <xf numFmtId="3" fontId="31" fillId="6" borderId="0" xfId="0" applyNumberFormat="1" applyFont="1" applyFill="1" applyAlignment="1" applyProtection="1">
      <alignment horizontal="center" vertical="center"/>
    </xf>
    <xf numFmtId="0" fontId="20" fillId="6" borderId="0" xfId="0" applyFont="1" applyFill="1" applyAlignment="1" applyProtection="1">
      <alignment horizontal="center" vertical="center"/>
    </xf>
    <xf numFmtId="0" fontId="20" fillId="6" borderId="0" xfId="0" applyFont="1" applyFill="1" applyAlignment="1" applyProtection="1">
      <alignment horizontal="right" vertical="center"/>
    </xf>
    <xf numFmtId="3" fontId="32" fillId="6" borderId="0" xfId="0" applyNumberFormat="1" applyFont="1" applyFill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26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left"/>
    </xf>
    <xf numFmtId="164" fontId="33" fillId="5" borderId="0" xfId="0" applyNumberFormat="1" applyFont="1" applyFill="1" applyAlignment="1" applyProtection="1">
      <alignment horizontal="center" vertical="center"/>
    </xf>
    <xf numFmtId="3" fontId="22" fillId="6" borderId="0" xfId="0" applyNumberFormat="1" applyFont="1" applyFill="1" applyAlignment="1" applyProtection="1">
      <alignment horizontal="center"/>
    </xf>
    <xf numFmtId="3" fontId="34" fillId="6" borderId="0" xfId="0" applyNumberFormat="1" applyFont="1" applyFill="1" applyAlignment="1" applyProtection="1">
      <alignment horizontal="center" vertical="center"/>
    </xf>
    <xf numFmtId="0" fontId="13" fillId="6" borderId="1" xfId="0" applyFont="1" applyFill="1" applyBorder="1" applyAlignment="1" applyProtection="1">
      <alignment horizontal="center" vertical="center"/>
    </xf>
    <xf numFmtId="0" fontId="22" fillId="6" borderId="0" xfId="0" applyFont="1" applyFill="1" applyAlignment="1" applyProtection="1">
      <alignment vertical="center"/>
    </xf>
    <xf numFmtId="0" fontId="26" fillId="6" borderId="1" xfId="0" applyFont="1" applyFill="1" applyBorder="1" applyAlignment="1" applyProtection="1">
      <alignment horizontal="center" vertical="center"/>
    </xf>
    <xf numFmtId="169" fontId="6" fillId="6" borderId="0" xfId="0" applyNumberFormat="1" applyFont="1" applyFill="1" applyAlignment="1" applyProtection="1">
      <alignment horizontal="center" vertical="center"/>
    </xf>
    <xf numFmtId="3" fontId="35" fillId="6" borderId="0" xfId="0" applyNumberFormat="1" applyFont="1" applyFill="1" applyAlignment="1" applyProtection="1">
      <alignment horizontal="center" vertical="center"/>
    </xf>
    <xf numFmtId="0" fontId="36" fillId="6" borderId="1" xfId="0" applyFont="1" applyFill="1" applyBorder="1" applyAlignment="1" applyProtection="1">
      <alignment vertical="center"/>
    </xf>
    <xf numFmtId="3" fontId="29" fillId="6" borderId="0" xfId="0" applyNumberFormat="1" applyFont="1" applyFill="1" applyAlignment="1" applyProtection="1">
      <alignment horizontal="left" vertical="center"/>
    </xf>
    <xf numFmtId="3" fontId="34" fillId="6" borderId="0" xfId="0" applyNumberFormat="1" applyFont="1" applyFill="1" applyAlignment="1" applyProtection="1">
      <alignment horizontal="left" vertical="center"/>
    </xf>
    <xf numFmtId="0" fontId="0" fillId="0" borderId="0" xfId="0" applyAlignment="1" applyProtection="1">
      <alignment horizontal="left"/>
    </xf>
    <xf numFmtId="3" fontId="37" fillId="6" borderId="1" xfId="0" applyNumberFormat="1" applyFont="1" applyFill="1" applyBorder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164" fontId="9" fillId="0" borderId="0" xfId="0" applyNumberFormat="1" applyFont="1" applyAlignment="1" applyProtection="1">
      <alignment horizontal="center" vertical="center"/>
      <protection locked="0"/>
    </xf>
    <xf numFmtId="3" fontId="6" fillId="6" borderId="0" xfId="0" applyNumberFormat="1" applyFont="1" applyFill="1" applyAlignment="1" applyProtection="1">
      <alignment horizontal="left" vertical="center"/>
    </xf>
    <xf numFmtId="172" fontId="6" fillId="6" borderId="0" xfId="0" applyNumberFormat="1" applyFont="1" applyFill="1" applyAlignment="1" applyProtection="1">
      <alignment horizontal="center" vertical="center"/>
    </xf>
    <xf numFmtId="169" fontId="38" fillId="6" borderId="0" xfId="0" applyNumberFormat="1" applyFont="1" applyFill="1" applyAlignment="1" applyProtection="1">
      <alignment horizontal="center" vertical="center"/>
    </xf>
    <xf numFmtId="3" fontId="31" fillId="6" borderId="0" xfId="0" applyNumberFormat="1" applyFont="1" applyFill="1" applyAlignment="1" applyProtection="1">
      <alignment horizontal="left" vertical="center"/>
    </xf>
    <xf numFmtId="0" fontId="39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left"/>
    </xf>
    <xf numFmtId="0" fontId="40" fillId="0" borderId="0" xfId="0" applyFont="1" applyProtection="1"/>
    <xf numFmtId="0" fontId="22" fillId="4" borderId="0" xfId="0" applyFont="1" applyFill="1" applyAlignment="1" applyProtection="1">
      <alignment horizontal="center"/>
    </xf>
    <xf numFmtId="0" fontId="4" fillId="4" borderId="0" xfId="0" applyFont="1" applyFill="1" applyProtection="1"/>
    <xf numFmtId="0" fontId="4" fillId="4" borderId="0" xfId="0" applyFont="1" applyFill="1" applyAlignment="1" applyProtection="1">
      <alignment horizontal="center"/>
    </xf>
    <xf numFmtId="3" fontId="4" fillId="4" borderId="0" xfId="0" applyNumberFormat="1" applyFont="1" applyFill="1" applyAlignment="1" applyProtection="1">
      <alignment horizontal="center"/>
    </xf>
    <xf numFmtId="3" fontId="12" fillId="4" borderId="0" xfId="0" applyNumberFormat="1" applyFont="1" applyFill="1" applyAlignment="1" applyProtection="1">
      <alignment horizontal="center" vertical="center"/>
    </xf>
    <xf numFmtId="0" fontId="0" fillId="0" borderId="0" xfId="0" applyProtection="1">
      <protection hidden="1"/>
    </xf>
    <xf numFmtId="0" fontId="4" fillId="6" borderId="0" xfId="0" applyFont="1" applyFill="1" applyAlignment="1" applyProtection="1">
      <alignment vertical="center"/>
    </xf>
    <xf numFmtId="0" fontId="4" fillId="6" borderId="0" xfId="0" applyFont="1" applyFill="1" applyAlignment="1" applyProtection="1">
      <alignment horizontal="center"/>
    </xf>
    <xf numFmtId="0" fontId="24" fillId="6" borderId="0" xfId="0" applyFont="1" applyFill="1" applyAlignment="1" applyProtection="1">
      <alignment horizontal="right" vertical="center"/>
    </xf>
    <xf numFmtId="3" fontId="33" fillId="6" borderId="0" xfId="0" applyNumberFormat="1" applyFont="1" applyFill="1" applyAlignment="1" applyProtection="1">
      <alignment horizontal="center" vertical="center"/>
    </xf>
    <xf numFmtId="3" fontId="33" fillId="6" borderId="0" xfId="0" applyNumberFormat="1" applyFont="1" applyFill="1" applyAlignment="1" applyProtection="1">
      <alignment horizontal="left" vertical="center"/>
    </xf>
    <xf numFmtId="3" fontId="41" fillId="6" borderId="0" xfId="0" applyNumberFormat="1" applyFont="1" applyFill="1" applyAlignment="1" applyProtection="1">
      <alignment horizontal="center"/>
    </xf>
    <xf numFmtId="3" fontId="24" fillId="6" borderId="0" xfId="0" applyNumberFormat="1" applyFont="1" applyFill="1" applyAlignment="1" applyProtection="1">
      <alignment horizontal="left" vertical="center"/>
    </xf>
    <xf numFmtId="0" fontId="33" fillId="6" borderId="0" xfId="0" applyFont="1" applyFill="1" applyAlignment="1" applyProtection="1">
      <alignment horizontal="right" vertical="center"/>
    </xf>
    <xf numFmtId="3" fontId="9" fillId="7" borderId="0" xfId="0" applyNumberFormat="1" applyFont="1" applyFill="1" applyAlignment="1" applyProtection="1">
      <alignment horizontal="center" vertical="center"/>
      <protection locked="0"/>
    </xf>
    <xf numFmtId="3" fontId="24" fillId="6" borderId="0" xfId="0" applyNumberFormat="1" applyFont="1" applyFill="1" applyAlignment="1" applyProtection="1">
      <alignment horizontal="center" vertical="center"/>
    </xf>
    <xf numFmtId="3" fontId="22" fillId="6" borderId="0" xfId="0" applyNumberFormat="1" applyFont="1" applyFill="1" applyAlignment="1" applyProtection="1">
      <alignment vertical="center" wrapText="1"/>
    </xf>
    <xf numFmtId="173" fontId="42" fillId="6" borderId="0" xfId="0" applyNumberFormat="1" applyFont="1" applyFill="1" applyAlignment="1" applyProtection="1">
      <alignment horizontal="center" vertical="center"/>
    </xf>
    <xf numFmtId="3" fontId="19" fillId="6" borderId="0" xfId="0" applyNumberFormat="1" applyFont="1" applyFill="1" applyAlignment="1" applyProtection="1">
      <alignment horizontal="center"/>
    </xf>
    <xf numFmtId="0" fontId="42" fillId="6" borderId="0" xfId="0" applyFont="1" applyFill="1" applyAlignment="1" applyProtection="1">
      <alignment horizontal="right" vertical="center"/>
    </xf>
    <xf numFmtId="0" fontId="42" fillId="6" borderId="0" xfId="0" applyFont="1" applyFill="1" applyAlignment="1" applyProtection="1">
      <alignment horizontal="center" vertical="center"/>
    </xf>
    <xf numFmtId="174" fontId="42" fillId="6" borderId="0" xfId="0" applyNumberFormat="1" applyFont="1" applyFill="1" applyAlignment="1" applyProtection="1">
      <alignment horizontal="center" vertical="center"/>
    </xf>
    <xf numFmtId="3" fontId="19" fillId="6" borderId="0" xfId="0" applyNumberFormat="1" applyFont="1" applyFill="1" applyAlignment="1" applyProtection="1">
      <alignment horizontal="center" vertical="center"/>
    </xf>
    <xf numFmtId="3" fontId="28" fillId="6" borderId="0" xfId="0" applyNumberFormat="1" applyFont="1" applyFill="1" applyAlignment="1" applyProtection="1">
      <alignment horizontal="right" vertical="center"/>
    </xf>
    <xf numFmtId="3" fontId="19" fillId="6" borderId="0" xfId="0" applyNumberFormat="1" applyFont="1" applyFill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175" fontId="33" fillId="6" borderId="0" xfId="0" applyNumberFormat="1" applyFont="1" applyFill="1" applyAlignment="1" applyProtection="1">
      <alignment horizontal="center" vertical="center"/>
    </xf>
    <xf numFmtId="176" fontId="33" fillId="6" borderId="0" xfId="0" applyNumberFormat="1" applyFont="1" applyFill="1" applyAlignment="1" applyProtection="1">
      <alignment horizontal="center" vertical="center"/>
    </xf>
    <xf numFmtId="3" fontId="19" fillId="6" borderId="0" xfId="0" applyNumberFormat="1" applyFont="1" applyFill="1" applyAlignment="1" applyProtection="1">
      <alignment horizontal="right" vertical="top"/>
    </xf>
    <xf numFmtId="3" fontId="19" fillId="6" borderId="0" xfId="0" applyNumberFormat="1" applyFont="1" applyFill="1" applyAlignment="1" applyProtection="1">
      <alignment horizontal="center" vertical="top"/>
    </xf>
    <xf numFmtId="3" fontId="19" fillId="6" borderId="0" xfId="0" applyNumberFormat="1" applyFont="1" applyFill="1" applyAlignment="1" applyProtection="1">
      <alignment horizontal="left" vertical="top"/>
    </xf>
    <xf numFmtId="0" fontId="43" fillId="4" borderId="0" xfId="0" applyFont="1" applyFill="1" applyAlignment="1" applyProtection="1">
      <alignment horizontal="left" vertical="center" indent="1"/>
    </xf>
    <xf numFmtId="0" fontId="4" fillId="4" borderId="0" xfId="0" applyFont="1" applyFill="1" applyAlignment="1" applyProtection="1">
      <alignment horizontal="left" vertical="center" indent="15"/>
    </xf>
    <xf numFmtId="0" fontId="4" fillId="4" borderId="0" xfId="0" applyFont="1" applyFill="1" applyAlignment="1" applyProtection="1">
      <alignment vertical="center"/>
    </xf>
    <xf numFmtId="0" fontId="4" fillId="4" borderId="0" xfId="0" applyFont="1" applyFill="1" applyAlignment="1" applyProtection="1">
      <alignment horizontal="center" vertical="center"/>
    </xf>
    <xf numFmtId="0" fontId="1" fillId="4" borderId="0" xfId="0" applyFont="1" applyFill="1" applyAlignment="1" applyProtection="1">
      <alignment vertical="center"/>
    </xf>
    <xf numFmtId="3" fontId="4" fillId="4" borderId="0" xfId="0" applyNumberFormat="1" applyFont="1" applyFill="1" applyAlignment="1" applyProtection="1">
      <alignment horizontal="center" vertical="center"/>
    </xf>
    <xf numFmtId="0" fontId="20" fillId="4" borderId="0" xfId="0" applyFont="1" applyFill="1" applyAlignment="1" applyProtection="1">
      <alignment horizontal="center" vertical="center"/>
    </xf>
    <xf numFmtId="0" fontId="42" fillId="8" borderId="0" xfId="0" applyFont="1" applyFill="1" applyAlignment="1" applyProtection="1">
      <alignment vertical="center"/>
    </xf>
    <xf numFmtId="0" fontId="24" fillId="8" borderId="0" xfId="0" applyFont="1" applyFill="1" applyAlignment="1" applyProtection="1">
      <alignment horizontal="left" vertical="center" indent="1"/>
    </xf>
    <xf numFmtId="0" fontId="24" fillId="8" borderId="0" xfId="0" applyFont="1" applyFill="1" applyAlignment="1" applyProtection="1">
      <alignment horizontal="center" vertical="center"/>
    </xf>
    <xf numFmtId="177" fontId="24" fillId="8" borderId="0" xfId="0" applyNumberFormat="1" applyFont="1" applyFill="1" applyAlignment="1" applyProtection="1">
      <alignment horizontal="center" vertical="center" wrapText="1"/>
    </xf>
    <xf numFmtId="177" fontId="24" fillId="8" borderId="0" xfId="0" applyNumberFormat="1" applyFont="1" applyFill="1" applyAlignment="1" applyProtection="1">
      <alignment horizontal="center" vertical="center"/>
    </xf>
    <xf numFmtId="0" fontId="26" fillId="9" borderId="5" xfId="0" applyFont="1" applyFill="1" applyBorder="1" applyAlignment="1" applyProtection="1">
      <alignment horizontal="left" vertical="center" indent="1"/>
    </xf>
    <xf numFmtId="0" fontId="26" fillId="9" borderId="6" xfId="0" applyFont="1" applyFill="1" applyBorder="1" applyAlignment="1" applyProtection="1">
      <alignment vertical="center"/>
    </xf>
    <xf numFmtId="3" fontId="44" fillId="9" borderId="6" xfId="0" applyNumberFormat="1" applyFont="1" applyFill="1" applyBorder="1" applyAlignment="1" applyProtection="1">
      <alignment horizontal="center" vertical="center"/>
    </xf>
    <xf numFmtId="3" fontId="4" fillId="9" borderId="0" xfId="0" applyNumberFormat="1" applyFont="1" applyFill="1" applyAlignment="1" applyProtection="1">
      <alignment horizontal="center" vertical="center"/>
    </xf>
    <xf numFmtId="3" fontId="45" fillId="10" borderId="7" xfId="0" applyNumberFormat="1" applyFont="1" applyFill="1" applyBorder="1" applyAlignment="1" applyProtection="1">
      <alignment horizontal="center" vertical="center"/>
      <protection locked="0"/>
    </xf>
    <xf numFmtId="0" fontId="26" fillId="9" borderId="8" xfId="0" applyFont="1" applyFill="1" applyBorder="1" applyAlignment="1" applyProtection="1">
      <alignment vertical="center"/>
    </xf>
    <xf numFmtId="3" fontId="26" fillId="0" borderId="7" xfId="0" applyNumberFormat="1" applyFont="1" applyBorder="1" applyAlignment="1" applyProtection="1">
      <alignment horizontal="center" vertical="center"/>
      <protection locked="0"/>
    </xf>
    <xf numFmtId="0" fontId="26" fillId="4" borderId="9" xfId="0" applyFont="1" applyFill="1" applyBorder="1" applyAlignment="1" applyProtection="1">
      <alignment horizontal="left" vertical="center" indent="1"/>
    </xf>
    <xf numFmtId="0" fontId="26" fillId="4" borderId="9" xfId="0" applyFont="1" applyFill="1" applyBorder="1" applyAlignment="1" applyProtection="1">
      <alignment vertical="center"/>
    </xf>
    <xf numFmtId="0" fontId="26" fillId="4" borderId="9" xfId="0" applyFont="1" applyFill="1" applyBorder="1" applyAlignment="1" applyProtection="1">
      <alignment horizontal="center" vertical="center"/>
    </xf>
    <xf numFmtId="3" fontId="26" fillId="0" borderId="9" xfId="0" applyNumberFormat="1" applyFont="1" applyBorder="1" applyAlignment="1" applyProtection="1">
      <alignment horizontal="center" vertical="center"/>
    </xf>
    <xf numFmtId="0" fontId="44" fillId="0" borderId="9" xfId="0" applyFont="1" applyBorder="1" applyAlignment="1" applyProtection="1">
      <alignment horizontal="center" vertical="center"/>
    </xf>
    <xf numFmtId="3" fontId="4" fillId="0" borderId="0" xfId="0" applyNumberFormat="1" applyFont="1" applyAlignment="1" applyProtection="1">
      <alignment horizontal="center" vertical="center"/>
    </xf>
    <xf numFmtId="3" fontId="4" fillId="4" borderId="9" xfId="0" applyNumberFormat="1" applyFont="1" applyFill="1" applyBorder="1" applyAlignment="1" applyProtection="1">
      <alignment horizontal="center" vertical="center"/>
    </xf>
    <xf numFmtId="0" fontId="26" fillId="9" borderId="10" xfId="0" applyFont="1" applyFill="1" applyBorder="1" applyAlignment="1" applyProtection="1">
      <alignment horizontal="right" vertical="center"/>
    </xf>
    <xf numFmtId="3" fontId="46" fillId="4" borderId="6" xfId="0" applyNumberFormat="1" applyFont="1" applyFill="1" applyBorder="1" applyAlignment="1" applyProtection="1">
      <alignment horizontal="center" vertical="center"/>
      <protection locked="0"/>
    </xf>
    <xf numFmtId="3" fontId="46" fillId="9" borderId="6" xfId="0" applyNumberFormat="1" applyFont="1" applyFill="1" applyBorder="1" applyAlignment="1" applyProtection="1">
      <alignment horizontal="center" vertical="center"/>
    </xf>
    <xf numFmtId="3" fontId="45" fillId="10" borderId="6" xfId="0" applyNumberFormat="1" applyFont="1" applyFill="1" applyBorder="1" applyAlignment="1" applyProtection="1">
      <alignment horizontal="center" vertical="center"/>
      <protection locked="0"/>
    </xf>
    <xf numFmtId="3" fontId="26" fillId="9" borderId="0" xfId="0" applyNumberFormat="1" applyFont="1" applyFill="1" applyAlignment="1" applyProtection="1">
      <alignment horizontal="center" vertical="center"/>
    </xf>
    <xf numFmtId="3" fontId="46" fillId="10" borderId="6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vertical="center"/>
    </xf>
    <xf numFmtId="0" fontId="26" fillId="9" borderId="5" xfId="0" applyFont="1" applyFill="1" applyBorder="1" applyAlignment="1" applyProtection="1">
      <alignment horizontal="right" vertical="center"/>
    </xf>
    <xf numFmtId="0" fontId="26" fillId="9" borderId="10" xfId="0" applyFont="1" applyFill="1" applyBorder="1" applyAlignment="1" applyProtection="1">
      <alignment horizontal="left" vertical="center"/>
    </xf>
    <xf numFmtId="0" fontId="26" fillId="9" borderId="10" xfId="0" applyFont="1" applyFill="1" applyBorder="1" applyAlignment="1" applyProtection="1">
      <alignment vertical="center"/>
    </xf>
    <xf numFmtId="0" fontId="26" fillId="9" borderId="6" xfId="0" applyFont="1" applyFill="1" applyBorder="1" applyAlignment="1" applyProtection="1">
      <alignment horizontal="left" vertical="center" indent="1"/>
    </xf>
    <xf numFmtId="3" fontId="4" fillId="10" borderId="6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left" vertical="center" indent="1"/>
    </xf>
    <xf numFmtId="0" fontId="26" fillId="4" borderId="0" xfId="0" applyFont="1" applyFill="1" applyAlignment="1" applyProtection="1">
      <alignment horizontal="center" vertical="center"/>
    </xf>
    <xf numFmtId="3" fontId="26" fillId="4" borderId="0" xfId="0" applyNumberFormat="1" applyFont="1" applyFill="1" applyAlignment="1" applyProtection="1">
      <alignment horizontal="center" vertical="center"/>
    </xf>
    <xf numFmtId="0" fontId="44" fillId="4" borderId="0" xfId="0" applyFont="1" applyFill="1" applyAlignment="1" applyProtection="1">
      <alignment horizontal="center" vertical="center"/>
    </xf>
    <xf numFmtId="4" fontId="46" fillId="9" borderId="6" xfId="0" applyNumberFormat="1" applyFont="1" applyFill="1" applyBorder="1" applyAlignment="1" applyProtection="1">
      <alignment horizontal="center" vertical="center"/>
    </xf>
    <xf numFmtId="0" fontId="44" fillId="9" borderId="0" xfId="0" applyFont="1" applyFill="1" applyAlignment="1" applyProtection="1">
      <alignment horizontal="center" vertical="center"/>
    </xf>
    <xf numFmtId="4" fontId="4" fillId="10" borderId="6" xfId="0" applyNumberFormat="1" applyFont="1" applyFill="1" applyBorder="1" applyAlignment="1" applyProtection="1">
      <alignment horizontal="center" vertical="center"/>
      <protection locked="0"/>
    </xf>
    <xf numFmtId="0" fontId="42" fillId="11" borderId="0" xfId="0" applyFont="1" applyFill="1" applyAlignment="1" applyProtection="1">
      <alignment vertical="center"/>
    </xf>
    <xf numFmtId="0" fontId="20" fillId="11" borderId="0" xfId="0" applyFont="1" applyFill="1" applyAlignment="1" applyProtection="1">
      <alignment horizontal="left" vertical="center" indent="1"/>
    </xf>
    <xf numFmtId="177" fontId="24" fillId="11" borderId="0" xfId="0" applyNumberFormat="1" applyFont="1" applyFill="1" applyAlignment="1" applyProtection="1">
      <alignment horizontal="center" vertical="center"/>
    </xf>
    <xf numFmtId="177" fontId="24" fillId="11" borderId="0" xfId="0" applyNumberFormat="1" applyFont="1" applyFill="1" applyAlignment="1" applyProtection="1">
      <alignment horizontal="center" vertical="center" wrapText="1"/>
    </xf>
    <xf numFmtId="0" fontId="24" fillId="11" borderId="0" xfId="0" applyFont="1" applyFill="1" applyAlignment="1" applyProtection="1">
      <alignment horizontal="center" vertical="center"/>
    </xf>
    <xf numFmtId="3" fontId="24" fillId="11" borderId="0" xfId="0" applyNumberFormat="1" applyFont="1" applyFill="1" applyAlignment="1" applyProtection="1">
      <alignment horizontal="center" vertical="center"/>
    </xf>
    <xf numFmtId="3" fontId="24" fillId="11" borderId="0" xfId="0" applyNumberFormat="1" applyFont="1" applyFill="1" applyAlignment="1" applyProtection="1">
      <alignment horizontal="center" vertical="center" wrapText="1"/>
    </xf>
    <xf numFmtId="0" fontId="47" fillId="12" borderId="11" xfId="0" applyFont="1" applyFill="1" applyBorder="1" applyAlignment="1" applyProtection="1">
      <alignment vertical="center"/>
    </xf>
    <xf numFmtId="0" fontId="26" fillId="12" borderId="12" xfId="0" applyFont="1" applyFill="1" applyBorder="1" applyAlignment="1" applyProtection="1">
      <alignment horizontal="center" vertical="center"/>
    </xf>
    <xf numFmtId="3" fontId="26" fillId="12" borderId="12" xfId="0" applyNumberFormat="1" applyFont="1" applyFill="1" applyBorder="1" applyAlignment="1" applyProtection="1">
      <alignment horizontal="center" vertical="center"/>
    </xf>
    <xf numFmtId="0" fontId="48" fillId="12" borderId="12" xfId="0" applyFont="1" applyFill="1" applyBorder="1" applyAlignment="1" applyProtection="1">
      <alignment horizontal="center" vertical="center"/>
    </xf>
    <xf numFmtId="3" fontId="4" fillId="12" borderId="12" xfId="0" applyNumberFormat="1" applyFont="1" applyFill="1" applyBorder="1" applyAlignment="1" applyProtection="1">
      <alignment horizontal="center" vertical="center"/>
    </xf>
    <xf numFmtId="3" fontId="4" fillId="12" borderId="13" xfId="0" applyNumberFormat="1" applyFont="1" applyFill="1" applyBorder="1" applyAlignment="1" applyProtection="1">
      <alignment horizontal="center" vertical="center"/>
    </xf>
    <xf numFmtId="0" fontId="26" fillId="12" borderId="14" xfId="0" applyFont="1" applyFill="1" applyBorder="1" applyAlignment="1" applyProtection="1">
      <alignment horizontal="left" vertical="center" indent="1"/>
    </xf>
    <xf numFmtId="0" fontId="26" fillId="12" borderId="8" xfId="0" applyFont="1" applyFill="1" applyBorder="1" applyAlignment="1" applyProtection="1">
      <alignment horizontal="center" vertical="center"/>
    </xf>
    <xf numFmtId="3" fontId="26" fillId="0" borderId="8" xfId="0" applyNumberFormat="1" applyFont="1" applyBorder="1" applyAlignment="1" applyProtection="1">
      <alignment horizontal="center" vertical="center"/>
      <protection locked="0"/>
    </xf>
    <xf numFmtId="3" fontId="49" fillId="12" borderId="8" xfId="0" applyNumberFormat="1" applyFont="1" applyFill="1" applyBorder="1" applyAlignment="1" applyProtection="1">
      <alignment horizontal="center" vertical="center"/>
    </xf>
    <xf numFmtId="3" fontId="26" fillId="13" borderId="8" xfId="0" applyNumberFormat="1" applyFont="1" applyFill="1" applyBorder="1" applyAlignment="1" applyProtection="1">
      <alignment horizontal="center" vertical="center"/>
    </xf>
    <xf numFmtId="3" fontId="26" fillId="12" borderId="8" xfId="0" applyNumberFormat="1" applyFont="1" applyFill="1" applyBorder="1" applyAlignment="1" applyProtection="1">
      <alignment horizontal="center" vertical="center"/>
    </xf>
    <xf numFmtId="3" fontId="4" fillId="10" borderId="8" xfId="0" applyNumberFormat="1" applyFont="1" applyFill="1" applyBorder="1" applyAlignment="1" applyProtection="1">
      <alignment horizontal="center" vertical="center"/>
      <protection locked="0"/>
    </xf>
    <xf numFmtId="0" fontId="26" fillId="12" borderId="9" xfId="0" applyFont="1" applyFill="1" applyBorder="1" applyAlignment="1" applyProtection="1">
      <alignment horizontal="left" vertical="center" indent="1"/>
    </xf>
    <xf numFmtId="0" fontId="26" fillId="12" borderId="9" xfId="0" applyFont="1" applyFill="1" applyBorder="1" applyAlignment="1" applyProtection="1">
      <alignment horizontal="center" vertical="center"/>
    </xf>
    <xf numFmtId="3" fontId="26" fillId="12" borderId="9" xfId="0" applyNumberFormat="1" applyFont="1" applyFill="1" applyBorder="1" applyAlignment="1" applyProtection="1">
      <alignment horizontal="center" vertical="center"/>
    </xf>
    <xf numFmtId="0" fontId="49" fillId="12" borderId="9" xfId="0" applyFont="1" applyFill="1" applyBorder="1" applyAlignment="1" applyProtection="1">
      <alignment horizontal="center" vertical="center"/>
    </xf>
    <xf numFmtId="0" fontId="26" fillId="0" borderId="6" xfId="0" applyFont="1" applyBorder="1" applyAlignment="1" applyProtection="1">
      <alignment horizontal="center" vertical="center"/>
      <protection locked="0"/>
    </xf>
    <xf numFmtId="0" fontId="26" fillId="12" borderId="6" xfId="0" applyFont="1" applyFill="1" applyBorder="1" applyAlignment="1" applyProtection="1">
      <alignment horizontal="center" vertical="center"/>
    </xf>
    <xf numFmtId="178" fontId="26" fillId="0" borderId="6" xfId="1" applyFont="1" applyBorder="1" applyAlignment="1" applyProtection="1">
      <alignment horizontal="center" vertical="center"/>
      <protection locked="0"/>
    </xf>
    <xf numFmtId="0" fontId="49" fillId="12" borderId="6" xfId="0" applyFont="1" applyFill="1" applyBorder="1" applyAlignment="1" applyProtection="1">
      <alignment horizontal="center" vertical="center"/>
    </xf>
    <xf numFmtId="3" fontId="26" fillId="13" borderId="6" xfId="0" applyNumberFormat="1" applyFont="1" applyFill="1" applyBorder="1" applyAlignment="1" applyProtection="1">
      <alignment horizontal="center" vertical="center"/>
    </xf>
    <xf numFmtId="3" fontId="26" fillId="12" borderId="6" xfId="0" applyNumberFormat="1" applyFont="1" applyFill="1" applyBorder="1" applyAlignment="1" applyProtection="1">
      <alignment horizontal="center" vertical="center"/>
    </xf>
    <xf numFmtId="178" fontId="4" fillId="10" borderId="6" xfId="1" applyFont="1" applyFill="1" applyBorder="1" applyAlignment="1" applyProtection="1">
      <alignment horizontal="center" vertical="center"/>
      <protection locked="0"/>
    </xf>
    <xf numFmtId="0" fontId="1" fillId="12" borderId="14" xfId="0" applyFont="1" applyFill="1" applyBorder="1" applyAlignment="1" applyProtection="1">
      <alignment horizontal="right" vertical="center"/>
    </xf>
    <xf numFmtId="0" fontId="26" fillId="4" borderId="15" xfId="0" applyFont="1" applyFill="1" applyBorder="1" applyAlignment="1" applyProtection="1">
      <alignment horizontal="left" vertical="center" indent="1"/>
    </xf>
    <xf numFmtId="0" fontId="49" fillId="4" borderId="0" xfId="0" applyFont="1" applyFill="1" applyAlignment="1" applyProtection="1">
      <alignment horizontal="center" vertical="center"/>
    </xf>
    <xf numFmtId="0" fontId="46" fillId="12" borderId="11" xfId="0" applyFont="1" applyFill="1" applyBorder="1" applyAlignment="1" applyProtection="1">
      <alignment vertical="center"/>
    </xf>
    <xf numFmtId="0" fontId="50" fillId="12" borderId="12" xfId="0" applyFont="1" applyFill="1" applyBorder="1" applyAlignment="1" applyProtection="1">
      <alignment horizontal="center" vertical="center"/>
    </xf>
    <xf numFmtId="3" fontId="26" fillId="12" borderId="12" xfId="0" applyNumberFormat="1" applyFont="1" applyFill="1" applyBorder="1" applyAlignment="1" applyProtection="1">
      <alignment horizontal="right" vertical="center"/>
    </xf>
    <xf numFmtId="166" fontId="26" fillId="0" borderId="16" xfId="0" applyNumberFormat="1" applyFont="1" applyBorder="1" applyAlignment="1" applyProtection="1">
      <alignment horizontal="left" vertical="center"/>
    </xf>
    <xf numFmtId="0" fontId="49" fillId="12" borderId="8" xfId="0" applyFont="1" applyFill="1" applyBorder="1" applyAlignment="1" applyProtection="1">
      <alignment horizontal="center" vertical="center"/>
    </xf>
    <xf numFmtId="0" fontId="26" fillId="12" borderId="9" xfId="0" applyFont="1" applyFill="1" applyBorder="1" applyAlignment="1" applyProtection="1">
      <alignment horizontal="left" vertical="center" indent="15"/>
    </xf>
    <xf numFmtId="3" fontId="49" fillId="12" borderId="6" xfId="0" applyNumberFormat="1" applyFont="1" applyFill="1" applyBorder="1" applyAlignment="1" applyProtection="1">
      <alignment horizontal="center" vertical="center"/>
    </xf>
    <xf numFmtId="178" fontId="26" fillId="12" borderId="6" xfId="1" applyFont="1" applyFill="1" applyBorder="1" applyAlignment="1" applyProtection="1">
      <alignment horizontal="center" vertical="center"/>
    </xf>
    <xf numFmtId="0" fontId="1" fillId="12" borderId="8" xfId="0" applyFont="1" applyFill="1" applyBorder="1" applyAlignment="1" applyProtection="1">
      <alignment horizontal="right" vertical="center"/>
    </xf>
    <xf numFmtId="0" fontId="26" fillId="4" borderId="0" xfId="0" applyFont="1" applyFill="1" applyAlignment="1" applyProtection="1">
      <alignment horizontal="left" vertical="center" indent="15"/>
    </xf>
    <xf numFmtId="0" fontId="51" fillId="12" borderId="9" xfId="0" applyFont="1" applyFill="1" applyBorder="1" applyAlignment="1" applyProtection="1">
      <alignment horizontal="left" vertical="center" indent="1"/>
    </xf>
    <xf numFmtId="3" fontId="4" fillId="12" borderId="9" xfId="0" applyNumberFormat="1" applyFont="1" applyFill="1" applyBorder="1" applyAlignment="1" applyProtection="1">
      <alignment horizontal="center" vertical="center"/>
    </xf>
    <xf numFmtId="0" fontId="52" fillId="12" borderId="14" xfId="0" applyFont="1" applyFill="1" applyBorder="1" applyAlignment="1" applyProtection="1">
      <alignment horizontal="left" vertical="center" indent="1"/>
    </xf>
    <xf numFmtId="0" fontId="4" fillId="12" borderId="14" xfId="0" applyFont="1" applyFill="1" applyBorder="1" applyAlignment="1" applyProtection="1">
      <alignment horizontal="left" vertical="center" indent="1"/>
    </xf>
    <xf numFmtId="3" fontId="26" fillId="10" borderId="6" xfId="0" applyNumberFormat="1" applyFont="1" applyFill="1" applyBorder="1" applyAlignment="1" applyProtection="1">
      <alignment horizontal="center" vertical="center"/>
      <protection locked="0"/>
    </xf>
    <xf numFmtId="0" fontId="26" fillId="12" borderId="9" xfId="0" applyFont="1" applyFill="1" applyBorder="1" applyAlignment="1" applyProtection="1">
      <alignment vertical="center"/>
    </xf>
    <xf numFmtId="3" fontId="4" fillId="12" borderId="0" xfId="0" applyNumberFormat="1" applyFont="1" applyFill="1" applyAlignment="1" applyProtection="1">
      <alignment horizontal="center" vertical="center"/>
    </xf>
    <xf numFmtId="3" fontId="26" fillId="12" borderId="0" xfId="0" applyNumberFormat="1" applyFont="1" applyFill="1" applyAlignment="1" applyProtection="1">
      <alignment horizontal="center" vertical="center"/>
    </xf>
    <xf numFmtId="0" fontId="26" fillId="12" borderId="6" xfId="0" applyFont="1" applyFill="1" applyBorder="1" applyAlignment="1" applyProtection="1">
      <alignment horizontal="right" vertical="center"/>
    </xf>
    <xf numFmtId="0" fontId="26" fillId="0" borderId="14" xfId="0" applyFont="1" applyBorder="1" applyAlignment="1" applyProtection="1">
      <alignment horizontal="center" vertical="center"/>
    </xf>
    <xf numFmtId="0" fontId="49" fillId="0" borderId="6" xfId="0" applyFont="1" applyBorder="1" applyAlignment="1" applyProtection="1">
      <alignment horizontal="center" vertical="center"/>
    </xf>
    <xf numFmtId="0" fontId="4" fillId="4" borderId="15" xfId="0" applyFont="1" applyFill="1" applyBorder="1" applyAlignment="1" applyProtection="1">
      <alignment horizontal="left" vertical="center" indent="15"/>
    </xf>
    <xf numFmtId="3" fontId="53" fillId="12" borderId="12" xfId="0" applyNumberFormat="1" applyFont="1" applyFill="1" applyBorder="1" applyAlignment="1" applyProtection="1">
      <alignment horizontal="center" vertical="center"/>
    </xf>
    <xf numFmtId="166" fontId="26" fillId="0" borderId="17" xfId="0" applyNumberFormat="1" applyFont="1" applyBorder="1" applyAlignment="1" applyProtection="1">
      <alignment horizontal="left" vertical="center"/>
    </xf>
    <xf numFmtId="3" fontId="4" fillId="10" borderId="9" xfId="0" applyNumberFormat="1" applyFont="1" applyFill="1" applyBorder="1" applyAlignment="1" applyProtection="1">
      <alignment horizontal="center" vertical="center"/>
    </xf>
    <xf numFmtId="3" fontId="4" fillId="13" borderId="6" xfId="0" applyNumberFormat="1" applyFont="1" applyFill="1" applyBorder="1" applyAlignment="1" applyProtection="1">
      <alignment horizontal="center" vertical="center"/>
    </xf>
    <xf numFmtId="3" fontId="1" fillId="12" borderId="9" xfId="0" applyNumberFormat="1" applyFont="1" applyFill="1" applyBorder="1" applyAlignment="1" applyProtection="1">
      <alignment horizontal="center" vertical="center"/>
    </xf>
    <xf numFmtId="3" fontId="26" fillId="12" borderId="18" xfId="0" applyNumberFormat="1" applyFont="1" applyFill="1" applyBorder="1" applyAlignment="1" applyProtection="1">
      <alignment horizontal="center" vertical="center"/>
    </xf>
    <xf numFmtId="0" fontId="26" fillId="12" borderId="0" xfId="0" applyFont="1" applyFill="1" applyAlignment="1" applyProtection="1">
      <alignment horizontal="center" vertical="center"/>
    </xf>
    <xf numFmtId="0" fontId="49" fillId="12" borderId="0" xfId="0" applyFont="1" applyFill="1" applyAlignment="1" applyProtection="1">
      <alignment horizontal="center" vertical="center"/>
    </xf>
    <xf numFmtId="0" fontId="26" fillId="4" borderId="15" xfId="0" applyFont="1" applyFill="1" applyBorder="1" applyAlignment="1" applyProtection="1">
      <alignment horizontal="left" vertical="center" indent="15"/>
    </xf>
    <xf numFmtId="0" fontId="26" fillId="0" borderId="8" xfId="0" applyFont="1" applyBorder="1" applyAlignment="1" applyProtection="1">
      <alignment horizontal="center" vertical="center"/>
      <protection locked="0"/>
    </xf>
    <xf numFmtId="178" fontId="26" fillId="0" borderId="8" xfId="1" applyFont="1" applyBorder="1" applyAlignment="1" applyProtection="1">
      <alignment horizontal="center" vertical="center"/>
      <protection locked="0"/>
    </xf>
    <xf numFmtId="178" fontId="4" fillId="10" borderId="8" xfId="1" applyFont="1" applyFill="1" applyBorder="1" applyAlignment="1" applyProtection="1">
      <alignment horizontal="center" vertical="center"/>
      <protection locked="0"/>
    </xf>
    <xf numFmtId="0" fontId="26" fillId="12" borderId="7" xfId="0" applyFont="1" applyFill="1" applyBorder="1" applyAlignment="1" applyProtection="1">
      <alignment horizontal="left" vertical="center" indent="1"/>
    </xf>
    <xf numFmtId="178" fontId="26" fillId="10" borderId="6" xfId="1" applyFont="1" applyFill="1" applyBorder="1" applyAlignment="1" applyProtection="1">
      <alignment horizontal="center" vertical="center"/>
      <protection locked="0"/>
    </xf>
    <xf numFmtId="178" fontId="4" fillId="10" borderId="6" xfId="0" applyNumberFormat="1" applyFont="1" applyFill="1" applyBorder="1" applyAlignment="1" applyProtection="1">
      <alignment horizontal="center" vertical="center"/>
      <protection locked="0"/>
    </xf>
    <xf numFmtId="0" fontId="26" fillId="12" borderId="0" xfId="0" applyFont="1" applyFill="1" applyAlignment="1" applyProtection="1">
      <alignment vertical="center"/>
    </xf>
    <xf numFmtId="3" fontId="26" fillId="0" borderId="8" xfId="1" applyNumberFormat="1" applyFont="1" applyBorder="1" applyAlignment="1" applyProtection="1">
      <alignment horizontal="center" vertical="center"/>
      <protection locked="0"/>
    </xf>
    <xf numFmtId="0" fontId="26" fillId="12" borderId="6" xfId="0" applyFont="1" applyFill="1" applyBorder="1" applyAlignment="1" applyProtection="1">
      <alignment vertical="center"/>
    </xf>
    <xf numFmtId="3" fontId="26" fillId="0" borderId="6" xfId="1" applyNumberFormat="1" applyFont="1" applyBorder="1" applyAlignment="1" applyProtection="1">
      <alignment horizontal="center" vertical="center"/>
      <protection locked="0"/>
    </xf>
    <xf numFmtId="0" fontId="26" fillId="0" borderId="6" xfId="1" applyNumberFormat="1" applyFont="1" applyBorder="1" applyAlignment="1" applyProtection="1">
      <alignment horizontal="center" vertical="center"/>
      <protection locked="0"/>
    </xf>
    <xf numFmtId="178" fontId="1" fillId="10" borderId="6" xfId="1" applyFont="1" applyFill="1" applyBorder="1" applyAlignment="1" applyProtection="1">
      <alignment horizontal="center" vertical="center"/>
      <protection locked="0"/>
    </xf>
    <xf numFmtId="0" fontId="26" fillId="12" borderId="14" xfId="0" applyFont="1" applyFill="1" applyBorder="1" applyAlignment="1" applyProtection="1">
      <alignment horizontal="right" vertical="center"/>
    </xf>
    <xf numFmtId="0" fontId="26" fillId="12" borderId="8" xfId="0" applyFont="1" applyFill="1" applyBorder="1" applyAlignment="1" applyProtection="1">
      <alignment horizontal="left" vertical="center" indent="1"/>
    </xf>
    <xf numFmtId="0" fontId="4" fillId="12" borderId="8" xfId="0" applyFont="1" applyFill="1" applyBorder="1" applyAlignment="1" applyProtection="1">
      <alignment horizontal="left" vertical="center" indent="1"/>
    </xf>
    <xf numFmtId="0" fontId="54" fillId="12" borderId="9" xfId="0" applyFont="1" applyFill="1" applyBorder="1" applyAlignment="1" applyProtection="1">
      <alignment horizontal="center" vertical="center"/>
    </xf>
    <xf numFmtId="0" fontId="54" fillId="4" borderId="0" xfId="0" applyFont="1" applyFill="1" applyAlignment="1" applyProtection="1">
      <alignment horizontal="center" vertical="center"/>
    </xf>
    <xf numFmtId="0" fontId="24" fillId="14" borderId="0" xfId="0" applyFont="1" applyFill="1" applyAlignment="1" applyProtection="1">
      <alignment vertical="center"/>
    </xf>
    <xf numFmtId="0" fontId="20" fillId="14" borderId="0" xfId="0" applyFont="1" applyFill="1" applyAlignment="1" applyProtection="1">
      <alignment horizontal="left" vertical="center" indent="1"/>
    </xf>
    <xf numFmtId="177" fontId="24" fillId="14" borderId="0" xfId="0" applyNumberFormat="1" applyFont="1" applyFill="1" applyAlignment="1" applyProtection="1">
      <alignment horizontal="center" vertical="center"/>
    </xf>
    <xf numFmtId="177" fontId="24" fillId="14" borderId="0" xfId="0" applyNumberFormat="1" applyFont="1" applyFill="1" applyAlignment="1" applyProtection="1">
      <alignment horizontal="center" vertical="center" wrapText="1"/>
    </xf>
    <xf numFmtId="0" fontId="24" fillId="14" borderId="0" xfId="0" applyFont="1" applyFill="1" applyAlignment="1" applyProtection="1">
      <alignment horizontal="center" vertical="center"/>
    </xf>
    <xf numFmtId="3" fontId="24" fillId="14" borderId="0" xfId="0" applyNumberFormat="1" applyFont="1" applyFill="1" applyAlignment="1" applyProtection="1">
      <alignment horizontal="center" vertical="center"/>
    </xf>
    <xf numFmtId="0" fontId="47" fillId="2" borderId="11" xfId="0" applyFont="1" applyFill="1" applyBorder="1" applyAlignment="1" applyProtection="1">
      <alignment vertical="center"/>
    </xf>
    <xf numFmtId="0" fontId="52" fillId="2" borderId="12" xfId="0" applyFont="1" applyFill="1" applyBorder="1" applyAlignment="1" applyProtection="1">
      <alignment vertical="center"/>
    </xf>
    <xf numFmtId="0" fontId="52" fillId="2" borderId="12" xfId="0" applyFont="1" applyFill="1" applyBorder="1" applyAlignment="1" applyProtection="1">
      <alignment horizontal="center" vertical="center"/>
    </xf>
    <xf numFmtId="3" fontId="26" fillId="2" borderId="12" xfId="0" applyNumberFormat="1" applyFont="1" applyFill="1" applyBorder="1" applyAlignment="1" applyProtection="1">
      <alignment horizontal="center" vertical="center"/>
    </xf>
    <xf numFmtId="0" fontId="55" fillId="2" borderId="12" xfId="0" applyFont="1" applyFill="1" applyBorder="1" applyAlignment="1" applyProtection="1">
      <alignment horizontal="center" vertical="center"/>
    </xf>
    <xf numFmtId="3" fontId="52" fillId="2" borderId="12" xfId="0" applyNumberFormat="1" applyFont="1" applyFill="1" applyBorder="1" applyAlignment="1" applyProtection="1">
      <alignment horizontal="center" vertical="center"/>
    </xf>
    <xf numFmtId="3" fontId="52" fillId="0" borderId="12" xfId="0" applyNumberFormat="1" applyFont="1" applyBorder="1" applyAlignment="1" applyProtection="1">
      <alignment horizontal="center" vertical="center"/>
    </xf>
    <xf numFmtId="3" fontId="4" fillId="15" borderId="13" xfId="0" applyNumberFormat="1" applyFont="1" applyFill="1" applyBorder="1" applyAlignment="1" applyProtection="1">
      <alignment horizontal="center" vertical="center"/>
    </xf>
    <xf numFmtId="0" fontId="52" fillId="2" borderId="14" xfId="0" applyFont="1" applyFill="1" applyBorder="1" applyAlignment="1" applyProtection="1">
      <alignment horizontal="left" vertical="center" indent="1"/>
    </xf>
    <xf numFmtId="0" fontId="26" fillId="2" borderId="8" xfId="0" applyFont="1" applyFill="1" applyBorder="1" applyAlignment="1" applyProtection="1">
      <alignment vertical="center"/>
    </xf>
    <xf numFmtId="0" fontId="26" fillId="2" borderId="8" xfId="0" applyFont="1" applyFill="1" applyBorder="1" applyAlignment="1" applyProtection="1">
      <alignment horizontal="center" vertical="center"/>
    </xf>
    <xf numFmtId="3" fontId="52" fillId="0" borderId="8" xfId="0" applyNumberFormat="1" applyFont="1" applyBorder="1" applyAlignment="1" applyProtection="1">
      <alignment horizontal="center" vertical="center"/>
      <protection locked="0"/>
    </xf>
    <xf numFmtId="3" fontId="55" fillId="2" borderId="8" xfId="0" applyNumberFormat="1" applyFont="1" applyFill="1" applyBorder="1" applyAlignment="1" applyProtection="1">
      <alignment horizontal="center" vertical="center"/>
    </xf>
    <xf numFmtId="3" fontId="52" fillId="2" borderId="8" xfId="0" applyNumberFormat="1" applyFont="1" applyFill="1" applyBorder="1" applyAlignment="1" applyProtection="1">
      <alignment horizontal="center" vertical="center"/>
    </xf>
    <xf numFmtId="3" fontId="52" fillId="0" borderId="19" xfId="0" applyNumberFormat="1" applyFont="1" applyBorder="1" applyAlignment="1" applyProtection="1">
      <alignment horizontal="center" vertical="center"/>
    </xf>
    <xf numFmtId="0" fontId="52" fillId="2" borderId="7" xfId="0" applyFont="1" applyFill="1" applyBorder="1" applyAlignment="1" applyProtection="1">
      <alignment horizontal="left" vertical="center" indent="1"/>
    </xf>
    <xf numFmtId="0" fontId="26" fillId="2" borderId="6" xfId="0" applyFont="1" applyFill="1" applyBorder="1" applyAlignment="1" applyProtection="1">
      <alignment vertical="center"/>
    </xf>
    <xf numFmtId="0" fontId="26" fillId="2" borderId="6" xfId="0" applyFont="1" applyFill="1" applyBorder="1" applyAlignment="1" applyProtection="1">
      <alignment horizontal="center" vertical="center"/>
    </xf>
    <xf numFmtId="3" fontId="52" fillId="0" borderId="6" xfId="0" applyNumberFormat="1" applyFont="1" applyBorder="1" applyAlignment="1" applyProtection="1">
      <alignment horizontal="center" vertical="center"/>
      <protection locked="0"/>
    </xf>
    <xf numFmtId="3" fontId="55" fillId="2" borderId="6" xfId="0" applyNumberFormat="1" applyFont="1" applyFill="1" applyBorder="1" applyAlignment="1" applyProtection="1">
      <alignment horizontal="center" vertical="center"/>
    </xf>
    <xf numFmtId="3" fontId="52" fillId="2" borderId="6" xfId="0" applyNumberFormat="1" applyFont="1" applyFill="1" applyBorder="1" applyAlignment="1" applyProtection="1">
      <alignment horizontal="center" vertical="center"/>
    </xf>
    <xf numFmtId="3" fontId="49" fillId="2" borderId="6" xfId="0" applyNumberFormat="1" applyFont="1" applyFill="1" applyBorder="1" applyAlignment="1" applyProtection="1">
      <alignment horizontal="center" vertical="center"/>
    </xf>
    <xf numFmtId="0" fontId="52" fillId="2" borderId="6" xfId="0" applyFont="1" applyFill="1" applyBorder="1" applyAlignment="1" applyProtection="1">
      <alignment horizontal="left" vertical="center" indent="1"/>
    </xf>
    <xf numFmtId="0" fontId="47" fillId="2" borderId="6" xfId="0" applyFont="1" applyFill="1" applyBorder="1" applyAlignment="1" applyProtection="1">
      <alignment vertical="center"/>
    </xf>
    <xf numFmtId="0" fontId="47" fillId="2" borderId="6" xfId="0" applyFont="1" applyFill="1" applyBorder="1" applyAlignment="1" applyProtection="1">
      <alignment horizontal="center" vertical="center"/>
    </xf>
    <xf numFmtId="179" fontId="52" fillId="0" borderId="6" xfId="0" applyNumberFormat="1" applyFont="1" applyBorder="1" applyAlignment="1" applyProtection="1">
      <alignment horizontal="center" vertical="center"/>
      <protection locked="0"/>
    </xf>
    <xf numFmtId="179" fontId="26" fillId="0" borderId="6" xfId="0" applyNumberFormat="1" applyFont="1" applyBorder="1" applyAlignment="1" applyProtection="1">
      <alignment horizontal="center" vertical="center"/>
      <protection locked="0"/>
    </xf>
    <xf numFmtId="0" fontId="52" fillId="2" borderId="6" xfId="0" applyFont="1" applyFill="1" applyBorder="1" applyAlignment="1" applyProtection="1">
      <alignment vertical="center"/>
    </xf>
    <xf numFmtId="0" fontId="52" fillId="2" borderId="6" xfId="0" applyFont="1" applyFill="1" applyBorder="1" applyAlignment="1" applyProtection="1">
      <alignment horizontal="center" vertical="center"/>
    </xf>
    <xf numFmtId="175" fontId="52" fillId="2" borderId="6" xfId="0" applyNumberFormat="1" applyFont="1" applyFill="1" applyBorder="1" applyAlignment="1" applyProtection="1">
      <alignment horizontal="center" vertical="center"/>
    </xf>
    <xf numFmtId="0" fontId="55" fillId="2" borderId="6" xfId="0" applyFont="1" applyFill="1" applyBorder="1" applyAlignment="1" applyProtection="1">
      <alignment horizontal="center" vertical="center"/>
    </xf>
    <xf numFmtId="3" fontId="1" fillId="4" borderId="0" xfId="0" applyNumberFormat="1" applyFont="1" applyFill="1" applyAlignment="1" applyProtection="1">
      <alignment horizontal="center" vertical="center"/>
    </xf>
    <xf numFmtId="0" fontId="56" fillId="4" borderId="0" xfId="0" applyFont="1" applyFill="1" applyAlignment="1" applyProtection="1">
      <alignment horizontal="center" vertical="center"/>
    </xf>
    <xf numFmtId="0" fontId="57" fillId="2" borderId="12" xfId="0" applyFont="1" applyFill="1" applyBorder="1" applyAlignment="1" applyProtection="1">
      <alignment horizontal="center" vertical="center"/>
    </xf>
    <xf numFmtId="0" fontId="52" fillId="2" borderId="8" xfId="0" applyFont="1" applyFill="1" applyBorder="1" applyAlignment="1" applyProtection="1">
      <alignment horizontal="left" vertical="center" indent="1"/>
    </xf>
    <xf numFmtId="0" fontId="52" fillId="2" borderId="8" xfId="0" applyFont="1" applyFill="1" applyBorder="1" applyAlignment="1" applyProtection="1">
      <alignment vertical="center"/>
    </xf>
    <xf numFmtId="0" fontId="52" fillId="2" borderId="8" xfId="0" applyFont="1" applyFill="1" applyBorder="1" applyAlignment="1" applyProtection="1">
      <alignment horizontal="center" vertical="center"/>
    </xf>
    <xf numFmtId="0" fontId="55" fillId="2" borderId="8" xfId="0" applyFont="1" applyFill="1" applyBorder="1" applyAlignment="1" applyProtection="1">
      <alignment horizontal="center" vertical="center"/>
    </xf>
    <xf numFmtId="3" fontId="52" fillId="0" borderId="14" xfId="0" applyNumberFormat="1" applyFont="1" applyBorder="1" applyAlignment="1" applyProtection="1">
      <alignment horizontal="center" vertical="center"/>
    </xf>
    <xf numFmtId="0" fontId="47" fillId="2" borderId="0" xfId="0" applyFont="1" applyFill="1" applyAlignment="1" applyProtection="1">
      <alignment horizontal="left" vertical="center" indent="1"/>
    </xf>
    <xf numFmtId="0" fontId="52" fillId="2" borderId="0" xfId="0" applyFont="1" applyFill="1" applyAlignment="1" applyProtection="1">
      <alignment vertical="center"/>
    </xf>
    <xf numFmtId="0" fontId="52" fillId="2" borderId="0" xfId="0" applyFont="1" applyFill="1" applyAlignment="1" applyProtection="1">
      <alignment horizontal="center" vertical="center"/>
    </xf>
    <xf numFmtId="3" fontId="52" fillId="2" borderId="0" xfId="0" applyNumberFormat="1" applyFont="1" applyFill="1" applyAlignment="1" applyProtection="1">
      <alignment horizontal="center" vertical="center"/>
    </xf>
    <xf numFmtId="0" fontId="55" fillId="2" borderId="0" xfId="0" applyFont="1" applyFill="1" applyAlignment="1" applyProtection="1">
      <alignment horizontal="center" vertical="center"/>
    </xf>
    <xf numFmtId="3" fontId="52" fillId="0" borderId="0" xfId="0" applyNumberFormat="1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52" fillId="2" borderId="14" xfId="0" applyFont="1" applyFill="1" applyBorder="1" applyAlignment="1" applyProtection="1">
      <alignment horizontal="right" vertical="center"/>
    </xf>
    <xf numFmtId="0" fontId="26" fillId="2" borderId="7" xfId="0" applyFont="1" applyFill="1" applyBorder="1" applyAlignment="1" applyProtection="1">
      <alignment horizontal="left" vertical="center" indent="1"/>
    </xf>
    <xf numFmtId="179" fontId="55" fillId="2" borderId="6" xfId="0" applyNumberFormat="1" applyFont="1" applyFill="1" applyBorder="1" applyAlignment="1" applyProtection="1">
      <alignment horizontal="center" vertical="center"/>
    </xf>
    <xf numFmtId="0" fontId="26" fillId="2" borderId="14" xfId="0" applyFont="1" applyFill="1" applyBorder="1" applyAlignment="1" applyProtection="1">
      <alignment horizontal="left" vertical="center" indent="1"/>
    </xf>
    <xf numFmtId="0" fontId="26" fillId="2" borderId="6" xfId="0" applyFont="1" applyFill="1" applyBorder="1" applyAlignment="1" applyProtection="1">
      <alignment horizontal="left" vertical="center" indent="1"/>
    </xf>
    <xf numFmtId="0" fontId="26" fillId="2" borderId="8" xfId="0" applyFont="1" applyFill="1" applyBorder="1" applyAlignment="1" applyProtection="1">
      <alignment horizontal="left" vertical="center" indent="1"/>
    </xf>
    <xf numFmtId="0" fontId="46" fillId="2" borderId="11" xfId="0" applyFont="1" applyFill="1" applyBorder="1" applyAlignment="1" applyProtection="1">
      <alignment vertical="center"/>
    </xf>
    <xf numFmtId="180" fontId="55" fillId="2" borderId="6" xfId="0" applyNumberFormat="1" applyFont="1" applyFill="1" applyBorder="1" applyAlignment="1" applyProtection="1">
      <alignment horizontal="center" vertical="center"/>
    </xf>
    <xf numFmtId="0" fontId="26" fillId="2" borderId="14" xfId="0" applyFont="1" applyFill="1" applyBorder="1" applyAlignment="1" applyProtection="1">
      <alignment vertical="center"/>
    </xf>
    <xf numFmtId="177" fontId="55" fillId="2" borderId="6" xfId="0" applyNumberFormat="1" applyFont="1" applyFill="1" applyBorder="1" applyAlignment="1" applyProtection="1">
      <alignment horizontal="center" vertical="center"/>
    </xf>
    <xf numFmtId="178" fontId="55" fillId="2" borderId="8" xfId="0" applyNumberFormat="1" applyFont="1" applyFill="1" applyBorder="1" applyAlignment="1" applyProtection="1">
      <alignment horizontal="center" vertical="center"/>
    </xf>
    <xf numFmtId="0" fontId="26" fillId="2" borderId="12" xfId="0" applyFont="1" applyFill="1" applyBorder="1" applyAlignment="1" applyProtection="1">
      <alignment vertical="center"/>
    </xf>
    <xf numFmtId="0" fontId="50" fillId="2" borderId="12" xfId="0" applyFont="1" applyFill="1" applyBorder="1" applyAlignment="1" applyProtection="1">
      <alignment horizontal="center" vertical="center"/>
    </xf>
    <xf numFmtId="3" fontId="26" fillId="0" borderId="12" xfId="0" applyNumberFormat="1" applyFont="1" applyBorder="1" applyAlignment="1" applyProtection="1">
      <alignment horizontal="center" vertical="center"/>
    </xf>
    <xf numFmtId="3" fontId="26" fillId="15" borderId="13" xfId="0" applyNumberFormat="1" applyFont="1" applyFill="1" applyBorder="1" applyAlignment="1" applyProtection="1">
      <alignment horizontal="center" vertical="center"/>
    </xf>
    <xf numFmtId="0" fontId="49" fillId="2" borderId="8" xfId="0" applyFont="1" applyFill="1" applyBorder="1" applyAlignment="1" applyProtection="1">
      <alignment horizontal="center" vertical="center"/>
    </xf>
    <xf numFmtId="3" fontId="26" fillId="2" borderId="8" xfId="0" applyNumberFormat="1" applyFont="1" applyFill="1" applyBorder="1" applyAlignment="1" applyProtection="1">
      <alignment horizontal="center" vertical="center"/>
    </xf>
    <xf numFmtId="3" fontId="26" fillId="0" borderId="14" xfId="0" applyNumberFormat="1" applyFont="1" applyBorder="1" applyAlignment="1" applyProtection="1">
      <alignment horizontal="center" vertical="center"/>
    </xf>
    <xf numFmtId="3" fontId="26" fillId="10" borderId="8" xfId="0" applyNumberFormat="1" applyFont="1" applyFill="1" applyBorder="1" applyAlignment="1" applyProtection="1">
      <alignment horizontal="center" vertical="center"/>
      <protection locked="0"/>
    </xf>
    <xf numFmtId="0" fontId="46" fillId="2" borderId="6" xfId="0" applyFont="1" applyFill="1" applyBorder="1" applyAlignment="1" applyProtection="1">
      <alignment vertical="center"/>
    </xf>
    <xf numFmtId="0" fontId="46" fillId="2" borderId="6" xfId="0" applyFont="1" applyFill="1" applyBorder="1" applyAlignment="1" applyProtection="1">
      <alignment horizontal="center" vertical="center"/>
    </xf>
    <xf numFmtId="177" fontId="49" fillId="2" borderId="6" xfId="0" applyNumberFormat="1" applyFont="1" applyFill="1" applyBorder="1" applyAlignment="1" applyProtection="1">
      <alignment horizontal="center" vertical="center"/>
    </xf>
    <xf numFmtId="3" fontId="26" fillId="2" borderId="6" xfId="0" applyNumberFormat="1" applyFont="1" applyFill="1" applyBorder="1" applyAlignment="1" applyProtection="1">
      <alignment horizontal="center" vertical="center"/>
    </xf>
    <xf numFmtId="3" fontId="26" fillId="0" borderId="0" xfId="0" applyNumberFormat="1" applyFont="1" applyAlignment="1" applyProtection="1">
      <alignment horizontal="center" vertical="center"/>
    </xf>
    <xf numFmtId="0" fontId="47" fillId="2" borderId="8" xfId="0" applyFont="1" applyFill="1" applyBorder="1" applyAlignment="1" applyProtection="1">
      <alignment vertical="center"/>
    </xf>
    <xf numFmtId="0" fontId="47" fillId="2" borderId="8" xfId="0" applyFont="1" applyFill="1" applyBorder="1" applyAlignment="1" applyProtection="1">
      <alignment horizontal="center" vertical="center"/>
    </xf>
    <xf numFmtId="179" fontId="47" fillId="2" borderId="8" xfId="0" applyNumberFormat="1" applyFont="1" applyFill="1" applyBorder="1" applyAlignment="1" applyProtection="1">
      <alignment horizontal="center" vertical="center"/>
    </xf>
    <xf numFmtId="0" fontId="58" fillId="2" borderId="8" xfId="0" applyFont="1" applyFill="1" applyBorder="1" applyAlignment="1" applyProtection="1">
      <alignment horizontal="center" vertical="center"/>
    </xf>
    <xf numFmtId="179" fontId="52" fillId="2" borderId="6" xfId="0" applyNumberFormat="1" applyFont="1" applyFill="1" applyBorder="1" applyAlignment="1" applyProtection="1">
      <alignment horizontal="center" vertical="center"/>
    </xf>
    <xf numFmtId="175" fontId="26" fillId="2" borderId="6" xfId="0" applyNumberFormat="1" applyFont="1" applyFill="1" applyBorder="1" applyAlignment="1" applyProtection="1">
      <alignment horizontal="center" vertical="center"/>
    </xf>
    <xf numFmtId="181" fontId="55" fillId="2" borderId="8" xfId="0" applyNumberFormat="1" applyFont="1" applyFill="1" applyBorder="1" applyAlignment="1" applyProtection="1">
      <alignment horizontal="center" vertical="center"/>
    </xf>
    <xf numFmtId="3" fontId="1" fillId="2" borderId="6" xfId="0" applyNumberFormat="1" applyFont="1" applyFill="1" applyBorder="1" applyAlignment="1" applyProtection="1">
      <alignment horizontal="center" vertical="center"/>
    </xf>
    <xf numFmtId="2" fontId="26" fillId="2" borderId="8" xfId="0" applyNumberFormat="1" applyFont="1" applyFill="1" applyBorder="1" applyAlignment="1" applyProtection="1">
      <alignment vertical="center"/>
    </xf>
    <xf numFmtId="2" fontId="26" fillId="2" borderId="8" xfId="0" applyNumberFormat="1" applyFont="1" applyFill="1" applyBorder="1" applyAlignment="1" applyProtection="1">
      <alignment horizontal="center" vertical="center"/>
    </xf>
    <xf numFmtId="0" fontId="49" fillId="2" borderId="6" xfId="0" applyFont="1" applyFill="1" applyBorder="1" applyAlignment="1" applyProtection="1">
      <alignment horizontal="center" vertical="center"/>
    </xf>
    <xf numFmtId="0" fontId="20" fillId="4" borderId="0" xfId="0" applyFont="1" applyFill="1" applyAlignment="1" applyProtection="1">
      <alignment horizontal="center" vertical="center" wrapText="1"/>
    </xf>
    <xf numFmtId="0" fontId="24" fillId="16" borderId="0" xfId="0" applyFont="1" applyFill="1" applyAlignment="1" applyProtection="1">
      <alignment vertical="center"/>
    </xf>
    <xf numFmtId="0" fontId="20" fillId="16" borderId="0" xfId="0" applyFont="1" applyFill="1" applyAlignment="1" applyProtection="1">
      <alignment horizontal="left" vertical="center" indent="1"/>
    </xf>
    <xf numFmtId="177" fontId="24" fillId="16" borderId="0" xfId="0" applyNumberFormat="1" applyFont="1" applyFill="1" applyAlignment="1" applyProtection="1">
      <alignment horizontal="center" vertical="center"/>
    </xf>
    <xf numFmtId="177" fontId="24" fillId="16" borderId="0" xfId="0" applyNumberFormat="1" applyFont="1" applyFill="1" applyAlignment="1" applyProtection="1">
      <alignment horizontal="center" vertical="center" wrapText="1"/>
    </xf>
    <xf numFmtId="0" fontId="24" fillId="16" borderId="0" xfId="0" applyFont="1" applyFill="1" applyAlignment="1" applyProtection="1">
      <alignment horizontal="center" vertical="center"/>
    </xf>
    <xf numFmtId="3" fontId="24" fillId="16" borderId="0" xfId="0" applyNumberFormat="1" applyFont="1" applyFill="1" applyAlignment="1" applyProtection="1">
      <alignment horizontal="center" vertical="center"/>
    </xf>
    <xf numFmtId="3" fontId="59" fillId="16" borderId="0" xfId="0" applyNumberFormat="1" applyFont="1" applyFill="1" applyAlignment="1" applyProtection="1">
      <alignment horizontal="center" vertical="center"/>
    </xf>
    <xf numFmtId="0" fontId="47" fillId="17" borderId="11" xfId="0" applyFont="1" applyFill="1" applyBorder="1" applyAlignment="1" applyProtection="1">
      <alignment vertical="center"/>
    </xf>
    <xf numFmtId="0" fontId="26" fillId="17" borderId="12" xfId="0" applyFont="1" applyFill="1" applyBorder="1" applyAlignment="1" applyProtection="1">
      <alignment vertical="center"/>
    </xf>
    <xf numFmtId="0" fontId="26" fillId="17" borderId="12" xfId="0" applyFont="1" applyFill="1" applyBorder="1" applyAlignment="1" applyProtection="1">
      <alignment horizontal="center" vertical="center"/>
    </xf>
    <xf numFmtId="3" fontId="1" fillId="17" borderId="12" xfId="0" applyNumberFormat="1" applyFont="1" applyFill="1" applyBorder="1" applyAlignment="1" applyProtection="1">
      <alignment horizontal="center" vertical="center"/>
    </xf>
    <xf numFmtId="0" fontId="50" fillId="17" borderId="12" xfId="0" applyFont="1" applyFill="1" applyBorder="1" applyAlignment="1" applyProtection="1">
      <alignment horizontal="center" vertical="center"/>
    </xf>
    <xf numFmtId="3" fontId="4" fillId="17" borderId="12" xfId="0" applyNumberFormat="1" applyFont="1" applyFill="1" applyBorder="1" applyAlignment="1" applyProtection="1">
      <alignment horizontal="center" vertical="center"/>
    </xf>
    <xf numFmtId="4" fontId="30" fillId="0" borderId="12" xfId="0" applyNumberFormat="1" applyFont="1" applyBorder="1" applyAlignment="1" applyProtection="1">
      <alignment horizontal="center" vertical="center"/>
    </xf>
    <xf numFmtId="3" fontId="4" fillId="17" borderId="13" xfId="0" applyNumberFormat="1" applyFont="1" applyFill="1" applyBorder="1" applyAlignment="1" applyProtection="1">
      <alignment horizontal="center" vertical="center"/>
    </xf>
    <xf numFmtId="0" fontId="52" fillId="17" borderId="14" xfId="0" applyFont="1" applyFill="1" applyBorder="1" applyAlignment="1" applyProtection="1">
      <alignment horizontal="left" vertical="center" indent="15"/>
    </xf>
    <xf numFmtId="0" fontId="26" fillId="17" borderId="8" xfId="0" applyFont="1" applyFill="1" applyBorder="1" applyAlignment="1" applyProtection="1">
      <alignment vertical="center"/>
    </xf>
    <xf numFmtId="0" fontId="26" fillId="17" borderId="8" xfId="0" applyFont="1" applyFill="1" applyBorder="1" applyAlignment="1" applyProtection="1">
      <alignment horizontal="center" vertical="center"/>
    </xf>
    <xf numFmtId="0" fontId="49" fillId="17" borderId="8" xfId="0" applyFont="1" applyFill="1" applyBorder="1" applyAlignment="1" applyProtection="1">
      <alignment horizontal="center" vertical="center"/>
    </xf>
    <xf numFmtId="3" fontId="4" fillId="17" borderId="8" xfId="0" applyNumberFormat="1" applyFont="1" applyFill="1" applyBorder="1" applyAlignment="1" applyProtection="1">
      <alignment horizontal="center" vertical="center"/>
    </xf>
    <xf numFmtId="3" fontId="30" fillId="0" borderId="14" xfId="0" applyNumberFormat="1" applyFont="1" applyBorder="1" applyAlignment="1" applyProtection="1">
      <alignment horizontal="center" vertical="center"/>
    </xf>
    <xf numFmtId="0" fontId="26" fillId="17" borderId="6" xfId="0" applyFont="1" applyFill="1" applyBorder="1" applyAlignment="1" applyProtection="1">
      <alignment vertical="center"/>
    </xf>
    <xf numFmtId="0" fontId="26" fillId="17" borderId="6" xfId="0" applyFont="1" applyFill="1" applyBorder="1" applyAlignment="1" applyProtection="1">
      <alignment horizontal="center" vertical="center"/>
    </xf>
    <xf numFmtId="0" fontId="49" fillId="17" borderId="6" xfId="0" applyFont="1" applyFill="1" applyBorder="1" applyAlignment="1" applyProtection="1">
      <alignment horizontal="center" vertical="center"/>
    </xf>
    <xf numFmtId="3" fontId="4" fillId="17" borderId="6" xfId="0" applyNumberFormat="1" applyFont="1" applyFill="1" applyBorder="1" applyAlignment="1" applyProtection="1">
      <alignment horizontal="center" vertical="center"/>
    </xf>
    <xf numFmtId="175" fontId="30" fillId="0" borderId="14" xfId="0" applyNumberFormat="1" applyFont="1" applyBorder="1" applyAlignment="1" applyProtection="1">
      <alignment horizontal="center" vertical="center"/>
    </xf>
    <xf numFmtId="0" fontId="52" fillId="17" borderId="8" xfId="0" applyFont="1" applyFill="1" applyBorder="1" applyAlignment="1" applyProtection="1">
      <alignment horizontal="left" vertical="center" indent="15"/>
    </xf>
    <xf numFmtId="3" fontId="26" fillId="17" borderId="12" xfId="0" applyNumberFormat="1" applyFont="1" applyFill="1" applyBorder="1" applyAlignment="1" applyProtection="1">
      <alignment horizontal="center" vertical="center"/>
    </xf>
    <xf numFmtId="3" fontId="4" fillId="0" borderId="12" xfId="0" applyNumberFormat="1" applyFont="1" applyBorder="1" applyAlignment="1" applyProtection="1">
      <alignment horizontal="center" vertical="center"/>
    </xf>
    <xf numFmtId="0" fontId="4" fillId="17" borderId="14" xfId="0" applyFont="1" applyFill="1" applyBorder="1" applyAlignment="1" applyProtection="1">
      <alignment horizontal="left" vertical="center" indent="15"/>
    </xf>
    <xf numFmtId="0" fontId="26" fillId="17" borderId="14" xfId="0" applyFont="1" applyFill="1" applyBorder="1" applyAlignment="1" applyProtection="1">
      <alignment horizontal="left" vertical="center" indent="15"/>
    </xf>
    <xf numFmtId="3" fontId="26" fillId="17" borderId="6" xfId="0" applyNumberFormat="1" applyFont="1" applyFill="1" applyBorder="1" applyAlignment="1" applyProtection="1">
      <alignment horizontal="center" vertical="center"/>
    </xf>
    <xf numFmtId="0" fontId="26" fillId="4" borderId="0" xfId="0" applyFont="1" applyFill="1" applyProtection="1"/>
    <xf numFmtId="0" fontId="26" fillId="17" borderId="8" xfId="0" applyFont="1" applyFill="1" applyBorder="1" applyAlignment="1" applyProtection="1">
      <alignment horizontal="left" vertical="center" indent="15"/>
    </xf>
    <xf numFmtId="0" fontId="24" fillId="18" borderId="0" xfId="0" applyFont="1" applyFill="1" applyAlignment="1" applyProtection="1">
      <alignment vertical="center"/>
    </xf>
    <xf numFmtId="0" fontId="20" fillId="18" borderId="0" xfId="0" applyFont="1" applyFill="1" applyAlignment="1" applyProtection="1">
      <alignment horizontal="left" vertical="center" indent="1"/>
    </xf>
    <xf numFmtId="177" fontId="24" fillId="18" borderId="0" xfId="0" applyNumberFormat="1" applyFont="1" applyFill="1" applyAlignment="1" applyProtection="1">
      <alignment horizontal="center" vertical="center"/>
    </xf>
    <xf numFmtId="177" fontId="24" fillId="18" borderId="0" xfId="0" applyNumberFormat="1" applyFont="1" applyFill="1" applyAlignment="1" applyProtection="1">
      <alignment horizontal="center" vertical="center" wrapText="1"/>
    </xf>
    <xf numFmtId="0" fontId="24" fillId="18" borderId="0" xfId="0" applyFont="1" applyFill="1" applyAlignment="1" applyProtection="1">
      <alignment horizontal="center" vertical="center"/>
    </xf>
    <xf numFmtId="3" fontId="24" fillId="18" borderId="0" xfId="0" applyNumberFormat="1" applyFont="1" applyFill="1" applyAlignment="1" applyProtection="1">
      <alignment horizontal="center" vertical="center"/>
    </xf>
    <xf numFmtId="3" fontId="60" fillId="18" borderId="0" xfId="0" applyNumberFormat="1" applyFont="1" applyFill="1" applyAlignment="1" applyProtection="1">
      <alignment horizontal="center" vertical="center" wrapText="1"/>
    </xf>
    <xf numFmtId="0" fontId="45" fillId="19" borderId="11" xfId="0" applyFont="1" applyFill="1" applyBorder="1" applyAlignment="1" applyProtection="1">
      <alignment vertical="center"/>
    </xf>
    <xf numFmtId="0" fontId="26" fillId="19" borderId="12" xfId="0" applyFont="1" applyFill="1" applyBorder="1" applyAlignment="1" applyProtection="1">
      <alignment vertical="center"/>
    </xf>
    <xf numFmtId="0" fontId="26" fillId="19" borderId="12" xfId="0" applyFont="1" applyFill="1" applyBorder="1" applyAlignment="1" applyProtection="1">
      <alignment horizontal="center" vertical="center"/>
    </xf>
    <xf numFmtId="3" fontId="4" fillId="19" borderId="12" xfId="0" applyNumberFormat="1" applyFont="1" applyFill="1" applyBorder="1" applyAlignment="1" applyProtection="1">
      <alignment horizontal="center" vertical="center"/>
    </xf>
    <xf numFmtId="0" fontId="48" fillId="19" borderId="12" xfId="0" applyFont="1" applyFill="1" applyBorder="1" applyAlignment="1" applyProtection="1">
      <alignment horizontal="center" vertical="center"/>
    </xf>
    <xf numFmtId="3" fontId="4" fillId="19" borderId="13" xfId="0" applyNumberFormat="1" applyFont="1" applyFill="1" applyBorder="1" applyAlignment="1" applyProtection="1">
      <alignment horizontal="center" vertical="center"/>
    </xf>
    <xf numFmtId="0" fontId="4" fillId="19" borderId="14" xfId="0" applyFont="1" applyFill="1" applyBorder="1" applyAlignment="1" applyProtection="1">
      <alignment horizontal="left" vertical="center" indent="15"/>
    </xf>
    <xf numFmtId="0" fontId="26" fillId="19" borderId="8" xfId="0" applyFont="1" applyFill="1" applyBorder="1" applyAlignment="1" applyProtection="1">
      <alignment vertical="center"/>
    </xf>
    <xf numFmtId="0" fontId="26" fillId="19" borderId="8" xfId="0" applyFont="1" applyFill="1" applyBorder="1" applyAlignment="1" applyProtection="1">
      <alignment horizontal="center" vertical="center"/>
    </xf>
    <xf numFmtId="3" fontId="49" fillId="19" borderId="8" xfId="0" applyNumberFormat="1" applyFont="1" applyFill="1" applyBorder="1" applyAlignment="1" applyProtection="1">
      <alignment horizontal="center" vertical="center"/>
    </xf>
    <xf numFmtId="3" fontId="4" fillId="19" borderId="8" xfId="0" applyNumberFormat="1" applyFont="1" applyFill="1" applyBorder="1" applyAlignment="1" applyProtection="1">
      <alignment horizontal="center" vertical="center"/>
    </xf>
    <xf numFmtId="3" fontId="4" fillId="0" borderId="14" xfId="0" applyNumberFormat="1" applyFont="1" applyBorder="1" applyAlignment="1" applyProtection="1">
      <alignment horizontal="center" vertical="center"/>
    </xf>
    <xf numFmtId="0" fontId="26" fillId="19" borderId="6" xfId="0" applyFont="1" applyFill="1" applyBorder="1" applyAlignment="1" applyProtection="1">
      <alignment vertical="center"/>
    </xf>
    <xf numFmtId="0" fontId="26" fillId="19" borderId="6" xfId="0" applyFont="1" applyFill="1" applyBorder="1" applyAlignment="1" applyProtection="1">
      <alignment horizontal="center" vertical="center"/>
    </xf>
    <xf numFmtId="3" fontId="49" fillId="19" borderId="6" xfId="0" applyNumberFormat="1" applyFont="1" applyFill="1" applyBorder="1" applyAlignment="1" applyProtection="1">
      <alignment horizontal="center" vertical="center"/>
    </xf>
    <xf numFmtId="3" fontId="4" fillId="19" borderId="6" xfId="0" applyNumberFormat="1" applyFont="1" applyFill="1" applyBorder="1" applyAlignment="1" applyProtection="1">
      <alignment horizontal="center" vertical="center"/>
    </xf>
    <xf numFmtId="0" fontId="61" fillId="4" borderId="0" xfId="0" applyFont="1" applyFill="1" applyAlignment="1" applyProtection="1">
      <alignment horizontal="center" vertical="center"/>
    </xf>
    <xf numFmtId="3" fontId="26" fillId="19" borderId="12" xfId="0" applyNumberFormat="1" applyFont="1" applyFill="1" applyBorder="1" applyAlignment="1" applyProtection="1">
      <alignment horizontal="center" vertical="center"/>
    </xf>
    <xf numFmtId="0" fontId="62" fillId="19" borderId="12" xfId="0" applyFont="1" applyFill="1" applyBorder="1" applyAlignment="1" applyProtection="1">
      <alignment horizontal="center" vertical="center"/>
    </xf>
    <xf numFmtId="0" fontId="26" fillId="19" borderId="14" xfId="0" applyFont="1" applyFill="1" applyBorder="1" applyAlignment="1" applyProtection="1">
      <alignment horizontal="left" vertical="center" indent="15"/>
    </xf>
    <xf numFmtId="3" fontId="26" fillId="19" borderId="8" xfId="0" applyNumberFormat="1" applyFont="1" applyFill="1" applyBorder="1" applyAlignment="1" applyProtection="1">
      <alignment horizontal="center" vertical="center"/>
    </xf>
    <xf numFmtId="0" fontId="26" fillId="19" borderId="8" xfId="0" applyFont="1" applyFill="1" applyBorder="1" applyAlignment="1" applyProtection="1">
      <alignment horizontal="left" vertical="center" indent="15"/>
    </xf>
    <xf numFmtId="3" fontId="26" fillId="19" borderId="6" xfId="0" applyNumberFormat="1" applyFont="1" applyFill="1" applyBorder="1" applyAlignment="1" applyProtection="1">
      <alignment horizontal="center" vertical="center"/>
    </xf>
    <xf numFmtId="0" fontId="46" fillId="19" borderId="11" xfId="0" applyFont="1" applyFill="1" applyBorder="1" applyAlignment="1" applyProtection="1">
      <alignment vertical="center"/>
    </xf>
    <xf numFmtId="0" fontId="50" fillId="19" borderId="12" xfId="0" applyFont="1" applyFill="1" applyBorder="1" applyAlignment="1" applyProtection="1">
      <alignment horizontal="center" vertical="center"/>
    </xf>
    <xf numFmtId="3" fontId="26" fillId="19" borderId="13" xfId="0" applyNumberFormat="1" applyFont="1" applyFill="1" applyBorder="1" applyAlignment="1" applyProtection="1">
      <alignment horizontal="center" vertical="center"/>
    </xf>
    <xf numFmtId="0" fontId="22" fillId="4" borderId="0" xfId="0" applyFont="1" applyFill="1" applyAlignment="1" applyProtection="1">
      <alignment horizontal="center" wrapText="1"/>
    </xf>
    <xf numFmtId="3" fontId="12" fillId="0" borderId="0" xfId="0" applyNumberFormat="1" applyFont="1" applyAlignment="1" applyProtection="1">
      <alignment horizontal="center" vertical="center"/>
    </xf>
    <xf numFmtId="175" fontId="0" fillId="0" borderId="0" xfId="0" applyNumberFormat="1" applyAlignment="1" applyProtection="1">
      <alignment horizontal="center"/>
    </xf>
    <xf numFmtId="3" fontId="45" fillId="6" borderId="0" xfId="0" applyNumberFormat="1" applyFont="1" applyFill="1" applyAlignment="1" applyProtection="1">
      <alignment horizontal="center"/>
    </xf>
    <xf numFmtId="175" fontId="24" fillId="6" borderId="0" xfId="0" applyNumberFormat="1" applyFont="1" applyFill="1" applyAlignment="1" applyProtection="1">
      <alignment horizontal="center" vertical="center"/>
    </xf>
    <xf numFmtId="3" fontId="26" fillId="6" borderId="0" xfId="0" applyNumberFormat="1" applyFont="1" applyFill="1" applyAlignment="1" applyProtection="1">
      <alignment horizontal="left" vertical="center"/>
    </xf>
    <xf numFmtId="3" fontId="26" fillId="4" borderId="0" xfId="0" applyNumberFormat="1" applyFont="1" applyFill="1" applyAlignment="1" applyProtection="1">
      <alignment horizontal="right" vertical="center"/>
    </xf>
    <xf numFmtId="3" fontId="26" fillId="4" borderId="0" xfId="0" applyNumberFormat="1" applyFont="1" applyFill="1" applyAlignment="1" applyProtection="1">
      <alignment horizontal="left" vertical="center"/>
    </xf>
    <xf numFmtId="0" fontId="42" fillId="11" borderId="0" xfId="0" applyFont="1" applyFill="1" applyAlignment="1" applyProtection="1">
      <alignment horizontal="center" vertical="center"/>
    </xf>
    <xf numFmtId="3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center"/>
      <protection hidden="1"/>
    </xf>
    <xf numFmtId="173" fontId="0" fillId="0" borderId="0" xfId="0" applyNumberFormat="1" applyAlignment="1" applyProtection="1">
      <alignment horizontal="center"/>
      <protection hidden="1"/>
    </xf>
    <xf numFmtId="183" fontId="0" fillId="0" borderId="0" xfId="0" applyNumberFormat="1" applyAlignment="1" applyProtection="1">
      <alignment horizontal="left"/>
      <protection hidden="1"/>
    </xf>
    <xf numFmtId="174" fontId="0" fillId="0" borderId="0" xfId="0" applyNumberFormat="1" applyAlignment="1" applyProtection="1">
      <alignment horizontal="center"/>
      <protection hidden="1"/>
    </xf>
    <xf numFmtId="184" fontId="0" fillId="0" borderId="0" xfId="0" applyNumberFormat="1" applyAlignment="1" applyProtection="1">
      <alignment horizontal="left"/>
      <protection hidden="1"/>
    </xf>
    <xf numFmtId="184" fontId="0" fillId="0" borderId="0" xfId="0" applyNumberFormat="1" applyProtection="1">
      <protection hidden="1"/>
    </xf>
    <xf numFmtId="0" fontId="39" fillId="9" borderId="0" xfId="0" applyFont="1" applyFill="1" applyAlignment="1" applyProtection="1">
      <alignment horizontal="center" vertical="center"/>
    </xf>
    <xf numFmtId="185" fontId="0" fillId="0" borderId="0" xfId="0" applyNumberFormat="1" applyAlignment="1" applyProtection="1">
      <alignment horizontal="center"/>
    </xf>
    <xf numFmtId="3" fontId="24" fillId="6" borderId="0" xfId="0" applyNumberFormat="1" applyFont="1" applyFill="1" applyAlignment="1" applyProtection="1">
      <alignment horizontal="center" vertical="center" wrapText="1"/>
    </xf>
    <xf numFmtId="3" fontId="26" fillId="6" borderId="0" xfId="0" applyNumberFormat="1" applyFont="1" applyFill="1" applyAlignment="1" applyProtection="1">
      <alignment horizontal="left"/>
    </xf>
    <xf numFmtId="0" fontId="43" fillId="6" borderId="0" xfId="0" applyFont="1" applyFill="1" applyAlignment="1" applyProtection="1">
      <alignment horizontal="left" vertical="center" indent="1"/>
    </xf>
    <xf numFmtId="3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 wrapText="1"/>
    </xf>
    <xf numFmtId="3" fontId="0" fillId="0" borderId="0" xfId="0" applyNumberFormat="1" applyAlignment="1" applyProtection="1">
      <alignment horizontal="center"/>
      <protection hidden="1"/>
    </xf>
    <xf numFmtId="0" fontId="63" fillId="0" borderId="0" xfId="0" applyFont="1" applyProtection="1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40" fillId="0" borderId="0" xfId="0" applyFont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64" fillId="0" borderId="0" xfId="0" applyFont="1" applyAlignment="1" applyProtection="1">
      <alignment horizontal="center" vertical="center" wrapText="1"/>
      <protection locked="0"/>
    </xf>
    <xf numFmtId="3" fontId="64" fillId="0" borderId="0" xfId="0" applyNumberFormat="1" applyFont="1" applyAlignment="1" applyProtection="1">
      <alignment horizontal="center" vertical="center"/>
      <protection locked="0"/>
    </xf>
    <xf numFmtId="175" fontId="6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65" fillId="0" borderId="0" xfId="0" applyFont="1" applyAlignment="1" applyProtection="1">
      <alignment horizontal="left" vertical="center"/>
      <protection locked="0"/>
    </xf>
    <xf numFmtId="0" fontId="65" fillId="0" borderId="0" xfId="0" applyFont="1" applyAlignment="1" applyProtection="1">
      <alignment vertical="center"/>
      <protection locked="0"/>
    </xf>
    <xf numFmtId="0" fontId="65" fillId="0" borderId="0" xfId="0" applyFont="1" applyAlignment="1" applyProtection="1">
      <alignment horizontal="center" vertical="center"/>
      <protection locked="0"/>
    </xf>
    <xf numFmtId="0" fontId="65" fillId="20" borderId="21" xfId="0" applyFont="1" applyFill="1" applyBorder="1" applyAlignment="1" applyProtection="1">
      <alignment horizontal="center" vertical="center"/>
      <protection locked="0"/>
    </xf>
    <xf numFmtId="0" fontId="65" fillId="20" borderId="0" xfId="0" applyFont="1" applyFill="1" applyAlignment="1" applyProtection="1">
      <alignment horizontal="center" vertical="center"/>
      <protection locked="0"/>
    </xf>
    <xf numFmtId="0" fontId="65" fillId="20" borderId="22" xfId="0" applyFont="1" applyFill="1" applyBorder="1" applyAlignment="1" applyProtection="1">
      <alignment horizontal="center" vertical="center"/>
      <protection locked="0"/>
    </xf>
    <xf numFmtId="0" fontId="66" fillId="0" borderId="0" xfId="0" applyFont="1" applyAlignment="1" applyProtection="1">
      <alignment horizontal="center" vertical="center"/>
      <protection locked="0"/>
    </xf>
    <xf numFmtId="0" fontId="65" fillId="0" borderId="0" xfId="0" applyFont="1" applyAlignment="1" applyProtection="1">
      <alignment horizontal="center" vertical="center" wrapText="1"/>
      <protection locked="0"/>
    </xf>
    <xf numFmtId="0" fontId="65" fillId="0" borderId="23" xfId="0" applyFont="1" applyBorder="1" applyAlignment="1" applyProtection="1">
      <alignment horizontal="center" vertical="center" wrapText="1"/>
      <protection locked="0"/>
    </xf>
    <xf numFmtId="3" fontId="65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20" borderId="24" xfId="0" applyFill="1" applyBorder="1" applyAlignment="1" applyProtection="1">
      <alignment horizontal="center" vertical="center"/>
      <protection locked="0"/>
    </xf>
    <xf numFmtId="0" fontId="0" fillId="20" borderId="0" xfId="0" applyFill="1" applyAlignment="1" applyProtection="1">
      <alignment horizontal="center" vertical="center"/>
      <protection locked="0"/>
    </xf>
    <xf numFmtId="0" fontId="0" fillId="20" borderId="0" xfId="0" applyFill="1" applyAlignment="1" applyProtection="1">
      <alignment horizontal="center" vertical="center" wrapText="1"/>
      <protection locked="0"/>
    </xf>
    <xf numFmtId="0" fontId="40" fillId="20" borderId="24" xfId="0" applyFont="1" applyFill="1" applyBorder="1" applyAlignment="1" applyProtection="1">
      <alignment horizontal="center" vertical="center"/>
      <protection locked="0"/>
    </xf>
    <xf numFmtId="0" fontId="0" fillId="20" borderId="25" xfId="0" applyFill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3" fontId="0" fillId="0" borderId="0" xfId="0" applyNumberFormat="1" applyAlignment="1" applyProtection="1">
      <alignment horizontal="center" vertical="center" wrapText="1"/>
      <protection locked="0"/>
    </xf>
    <xf numFmtId="175" fontId="0" fillId="0" borderId="0" xfId="0" applyNumberFormat="1" applyAlignment="1" applyProtection="1">
      <alignment horizontal="center" vertical="center" wrapText="1"/>
      <protection locked="0"/>
    </xf>
    <xf numFmtId="175" fontId="0" fillId="0" borderId="0" xfId="0" applyNumberFormat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67" fillId="21" borderId="0" xfId="0" applyFont="1" applyFill="1" applyAlignment="1" applyProtection="1">
      <alignment horizontal="center" vertical="center"/>
      <protection locked="0"/>
    </xf>
    <xf numFmtId="0" fontId="67" fillId="21" borderId="0" xfId="0" applyFont="1" applyFill="1" applyAlignment="1" applyProtection="1">
      <alignment vertical="center"/>
      <protection locked="0"/>
    </xf>
    <xf numFmtId="0" fontId="68" fillId="21" borderId="0" xfId="0" applyFont="1" applyFill="1" applyAlignment="1" applyProtection="1">
      <alignment horizontal="center" vertical="center"/>
      <protection locked="0"/>
    </xf>
    <xf numFmtId="0" fontId="0" fillId="21" borderId="0" xfId="0" applyFill="1" applyAlignment="1" applyProtection="1">
      <alignment horizontal="center" vertical="center"/>
      <protection locked="0"/>
    </xf>
    <xf numFmtId="3" fontId="0" fillId="21" borderId="0" xfId="0" applyNumberFormat="1" applyFill="1" applyAlignment="1" applyProtection="1">
      <alignment horizontal="center" vertical="center"/>
      <protection locked="0"/>
    </xf>
    <xf numFmtId="175" fontId="0" fillId="21" borderId="0" xfId="0" applyNumberFormat="1" applyFill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/>
      <protection locked="0"/>
    </xf>
    <xf numFmtId="3" fontId="0" fillId="13" borderId="0" xfId="0" applyNumberFormat="1" applyFill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 wrapText="1"/>
      <protection locked="0"/>
    </xf>
    <xf numFmtId="3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/>
      <protection locked="0"/>
    </xf>
    <xf numFmtId="3" fontId="0" fillId="0" borderId="0" xfId="0" applyNumberForma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3" fontId="0" fillId="0" borderId="21" xfId="0" applyNumberFormat="1" applyBorder="1" applyAlignment="1" applyProtection="1">
      <alignment horizontal="center" vertical="center" wrapText="1"/>
      <protection locked="0"/>
    </xf>
    <xf numFmtId="3" fontId="0" fillId="0" borderId="22" xfId="0" applyNumberFormat="1" applyBorder="1" applyAlignment="1" applyProtection="1">
      <alignment horizontal="center" vertical="center" wrapText="1"/>
      <protection locked="0"/>
    </xf>
    <xf numFmtId="3" fontId="0" fillId="0" borderId="21" xfId="0" applyNumberFormat="1" applyBorder="1" applyAlignment="1" applyProtection="1">
      <alignment horizontal="center" vertical="center"/>
      <protection locked="0"/>
    </xf>
    <xf numFmtId="3" fontId="0" fillId="0" borderId="22" xfId="0" applyNumberFormat="1" applyBorder="1" applyAlignment="1" applyProtection="1">
      <alignment horizontal="center" vertical="center"/>
      <protection locked="0"/>
    </xf>
    <xf numFmtId="3" fontId="0" fillId="0" borderId="29" xfId="0" applyNumberFormat="1" applyBorder="1" applyAlignment="1" applyProtection="1">
      <alignment horizontal="center" vertical="center" wrapText="1"/>
      <protection locked="0"/>
    </xf>
    <xf numFmtId="3" fontId="0" fillId="0" borderId="25" xfId="0" applyNumberFormat="1" applyBorder="1" applyAlignment="1" applyProtection="1">
      <alignment horizontal="center" vertical="center" wrapText="1"/>
      <protection locked="0"/>
    </xf>
    <xf numFmtId="3" fontId="0" fillId="0" borderId="26" xfId="0" applyNumberFormat="1" applyBorder="1" applyAlignment="1" applyProtection="1">
      <alignment horizontal="center" vertical="center"/>
      <protection locked="0"/>
    </xf>
    <xf numFmtId="3" fontId="0" fillId="0" borderId="27" xfId="0" applyNumberFormat="1" applyBorder="1" applyAlignment="1" applyProtection="1">
      <alignment horizontal="center" vertical="center"/>
      <protection locked="0"/>
    </xf>
    <xf numFmtId="3" fontId="0" fillId="0" borderId="28" xfId="0" applyNumberForma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186" fontId="0" fillId="0" borderId="0" xfId="0" applyNumberFormat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left"/>
      <protection locked="0"/>
    </xf>
    <xf numFmtId="0" fontId="67" fillId="22" borderId="0" xfId="0" applyFont="1" applyFill="1" applyAlignment="1" applyProtection="1">
      <alignment horizontal="center" vertical="center"/>
      <protection locked="0"/>
    </xf>
    <xf numFmtId="0" fontId="67" fillId="22" borderId="0" xfId="0" applyFont="1" applyFill="1" applyAlignment="1" applyProtection="1">
      <alignment vertical="center"/>
      <protection locked="0"/>
    </xf>
    <xf numFmtId="0" fontId="68" fillId="22" borderId="0" xfId="0" applyFont="1" applyFill="1" applyAlignment="1" applyProtection="1">
      <alignment horizontal="center" vertical="center"/>
      <protection locked="0"/>
    </xf>
    <xf numFmtId="0" fontId="0" fillId="22" borderId="0" xfId="0" applyFill="1" applyAlignment="1" applyProtection="1">
      <alignment horizontal="center" vertical="center" wrapText="1"/>
      <protection locked="0"/>
    </xf>
    <xf numFmtId="3" fontId="0" fillId="22" borderId="0" xfId="0" applyNumberFormat="1" applyFill="1" applyAlignment="1" applyProtection="1">
      <alignment horizontal="center" vertical="center"/>
      <protection locked="0"/>
    </xf>
    <xf numFmtId="175" fontId="0" fillId="22" borderId="0" xfId="0" applyNumberFormat="1" applyFill="1" applyAlignment="1" applyProtection="1">
      <alignment horizontal="center" vertical="center"/>
      <protection locked="0"/>
    </xf>
    <xf numFmtId="0" fontId="0" fillId="22" borderId="0" xfId="0" applyFill="1" applyAlignment="1" applyProtection="1">
      <alignment horizontal="center" vertical="center"/>
      <protection locked="0"/>
    </xf>
    <xf numFmtId="0" fontId="39" fillId="12" borderId="0" xfId="0" applyFont="1" applyFill="1" applyAlignment="1" applyProtection="1">
      <alignment horizontal="left" vertical="center"/>
      <protection locked="0"/>
    </xf>
    <xf numFmtId="0" fontId="39" fillId="12" borderId="0" xfId="0" applyFont="1" applyFill="1" applyAlignment="1" applyProtection="1">
      <alignment vertical="center"/>
      <protection locked="0"/>
    </xf>
    <xf numFmtId="0" fontId="0" fillId="12" borderId="0" xfId="0" applyFill="1" applyAlignment="1" applyProtection="1">
      <alignment horizontal="center" vertical="center"/>
      <protection locked="0"/>
    </xf>
    <xf numFmtId="0" fontId="40" fillId="12" borderId="0" xfId="0" applyFont="1" applyFill="1" applyAlignment="1" applyProtection="1">
      <alignment horizontal="center" vertical="center"/>
      <protection locked="0"/>
    </xf>
    <xf numFmtId="187" fontId="69" fillId="0" borderId="0" xfId="0" applyNumberFormat="1" applyFont="1" applyAlignment="1" applyProtection="1">
      <alignment horizontal="center" vertical="center"/>
      <protection locked="0"/>
    </xf>
    <xf numFmtId="178" fontId="0" fillId="0" borderId="0" xfId="0" applyNumberFormat="1" applyAlignment="1" applyProtection="1">
      <alignment horizontal="center" vertical="center"/>
      <protection locked="0"/>
    </xf>
    <xf numFmtId="0" fontId="0" fillId="13" borderId="0" xfId="0" applyFill="1" applyAlignment="1" applyProtection="1">
      <alignment horizontal="center"/>
      <protection locked="0"/>
    </xf>
    <xf numFmtId="188" fontId="0" fillId="0" borderId="0" xfId="0" applyNumberFormat="1" applyAlignment="1" applyProtection="1">
      <alignment horizontal="center" vertical="center"/>
      <protection locked="0"/>
    </xf>
    <xf numFmtId="0" fontId="0" fillId="12" borderId="0" xfId="0" applyFill="1" applyAlignment="1" applyProtection="1">
      <alignment horizontal="right" vertical="center"/>
      <protection locked="0"/>
    </xf>
    <xf numFmtId="0" fontId="0" fillId="12" borderId="0" xfId="0" applyFill="1" applyAlignment="1" applyProtection="1">
      <alignment horizontal="center"/>
      <protection locked="0"/>
    </xf>
    <xf numFmtId="3" fontId="0" fillId="12" borderId="0" xfId="0" applyNumberFormat="1" applyFill="1" applyAlignment="1" applyProtection="1">
      <alignment horizontal="center"/>
      <protection locked="0"/>
    </xf>
    <xf numFmtId="0" fontId="0" fillId="12" borderId="0" xfId="0" applyFill="1" applyAlignment="1" applyProtection="1">
      <alignment horizontal="center" vertical="center" wrapText="1"/>
      <protection locked="0"/>
    </xf>
    <xf numFmtId="3" fontId="0" fillId="12" borderId="0" xfId="0" applyNumberFormat="1" applyFill="1" applyAlignment="1" applyProtection="1">
      <alignment horizontal="center" vertical="center"/>
      <protection locked="0"/>
    </xf>
    <xf numFmtId="175" fontId="0" fillId="12" borderId="0" xfId="0" applyNumberFormat="1" applyFill="1" applyAlignment="1" applyProtection="1">
      <alignment horizontal="center" vertical="center"/>
      <protection locked="0"/>
    </xf>
    <xf numFmtId="178" fontId="0" fillId="12" borderId="0" xfId="0" applyNumberFormat="1" applyFill="1" applyAlignment="1" applyProtection="1">
      <alignment horizontal="center" vertical="center"/>
      <protection locked="0"/>
    </xf>
    <xf numFmtId="178" fontId="0" fillId="0" borderId="0" xfId="0" applyNumberFormat="1" applyAlignment="1" applyProtection="1">
      <alignment horizontal="center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0" fontId="0" fillId="13" borderId="0" xfId="0" applyFill="1" applyAlignment="1" applyProtection="1">
      <alignment horizontal="center" vertical="center"/>
      <protection locked="0"/>
    </xf>
    <xf numFmtId="3" fontId="0" fillId="13" borderId="0" xfId="0" applyNumberFormat="1" applyFill="1" applyAlignment="1" applyProtection="1">
      <alignment horizontal="center" vertical="center"/>
      <protection locked="0"/>
    </xf>
    <xf numFmtId="3" fontId="40" fillId="0" borderId="0" xfId="0" applyNumberFormat="1" applyFont="1" applyAlignment="1" applyProtection="1">
      <alignment horizontal="center"/>
      <protection locked="0"/>
    </xf>
    <xf numFmtId="0" fontId="70" fillId="0" borderId="0" xfId="0" applyFont="1" applyAlignment="1" applyProtection="1">
      <alignment horizontal="center" vertical="center" wrapText="1"/>
      <protection locked="0"/>
    </xf>
    <xf numFmtId="3" fontId="40" fillId="12" borderId="0" xfId="0" applyNumberFormat="1" applyFont="1" applyFill="1" applyAlignment="1" applyProtection="1">
      <alignment horizontal="center"/>
      <protection locked="0"/>
    </xf>
    <xf numFmtId="176" fontId="0" fillId="12" borderId="0" xfId="0" applyNumberFormat="1" applyFill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/>
      <protection locked="0"/>
    </xf>
    <xf numFmtId="0" fontId="71" fillId="0" borderId="0" xfId="0" applyFont="1" applyAlignment="1" applyProtection="1">
      <alignment horizontal="right" vertical="center"/>
      <protection locked="0"/>
    </xf>
    <xf numFmtId="0" fontId="71" fillId="0" borderId="0" xfId="0" applyFont="1" applyAlignment="1" applyProtection="1">
      <alignment horizontal="center"/>
      <protection locked="0"/>
    </xf>
    <xf numFmtId="3" fontId="72" fillId="0" borderId="0" xfId="0" applyNumberFormat="1" applyFont="1" applyAlignment="1" applyProtection="1">
      <alignment horizontal="center"/>
      <protection locked="0"/>
    </xf>
    <xf numFmtId="3" fontId="71" fillId="0" borderId="0" xfId="0" applyNumberFormat="1" applyFont="1" applyAlignment="1" applyProtection="1">
      <alignment horizontal="center"/>
      <protection locked="0"/>
    </xf>
    <xf numFmtId="0" fontId="0" fillId="0" borderId="0" xfId="0" applyAlignment="1">
      <alignment vertical="center"/>
      <protection locked="0" hidden="1"/>
    </xf>
    <xf numFmtId="0" fontId="72" fillId="0" borderId="0" xfId="0" applyFont="1" applyProtection="1"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  <protection locked="0" hidden="1"/>
    </xf>
    <xf numFmtId="0" fontId="23" fillId="0" borderId="0" xfId="0" applyFont="1" applyAlignment="1" applyProtection="1">
      <alignment horizontal="center" vertical="center"/>
      <protection locked="0"/>
    </xf>
    <xf numFmtId="0" fontId="64" fillId="0" borderId="0" xfId="0" applyFont="1" applyAlignment="1" applyProtection="1">
      <alignment horizontal="center" vertical="center"/>
      <protection locked="0"/>
    </xf>
    <xf numFmtId="176" fontId="64" fillId="0" borderId="0" xfId="0" applyNumberFormat="1" applyFont="1" applyAlignment="1" applyProtection="1">
      <alignment horizontal="center" vertical="center"/>
      <protection locked="0"/>
    </xf>
    <xf numFmtId="0" fontId="67" fillId="14" borderId="0" xfId="0" applyFont="1" applyFill="1" applyAlignment="1" applyProtection="1">
      <alignment horizontal="center" vertical="center"/>
      <protection locked="0"/>
    </xf>
    <xf numFmtId="0" fontId="67" fillId="14" borderId="0" xfId="0" applyFont="1" applyFill="1" applyAlignment="1" applyProtection="1">
      <alignment vertical="center"/>
      <protection locked="0"/>
    </xf>
    <xf numFmtId="0" fontId="68" fillId="14" borderId="0" xfId="0" applyFont="1" applyFill="1" applyAlignment="1" applyProtection="1">
      <alignment horizontal="center"/>
      <protection locked="0"/>
    </xf>
    <xf numFmtId="0" fontId="0" fillId="14" borderId="0" xfId="0" applyFill="1" applyAlignment="1" applyProtection="1">
      <alignment horizontal="center" vertical="center" wrapText="1"/>
      <protection locked="0"/>
    </xf>
    <xf numFmtId="0" fontId="64" fillId="14" borderId="0" xfId="0" applyFont="1" applyFill="1" applyAlignment="1" applyProtection="1">
      <alignment horizontal="center" vertical="center" wrapText="1"/>
      <protection locked="0"/>
    </xf>
    <xf numFmtId="0" fontId="39" fillId="2" borderId="0" xfId="0" applyFont="1" applyFill="1" applyAlignment="1" applyProtection="1">
      <alignment horizontal="left" vertical="center"/>
      <protection locked="0"/>
    </xf>
    <xf numFmtId="0" fontId="39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40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64" fillId="2" borderId="0" xfId="0" applyFont="1" applyFill="1" applyAlignment="1" applyProtection="1">
      <alignment horizontal="center" vertical="center" wrapText="1"/>
      <protection locked="0"/>
    </xf>
    <xf numFmtId="0" fontId="0" fillId="14" borderId="30" xfId="0" applyFill="1" applyBorder="1" applyAlignment="1" applyProtection="1">
      <alignment horizontal="center" vertical="center" wrapText="1"/>
      <protection locked="0"/>
    </xf>
    <xf numFmtId="0" fontId="0" fillId="14" borderId="31" xfId="0" applyFill="1" applyBorder="1" applyAlignment="1" applyProtection="1">
      <alignment horizontal="center" vertical="center" wrapText="1"/>
      <protection locked="0"/>
    </xf>
    <xf numFmtId="175" fontId="0" fillId="14" borderId="31" xfId="0" applyNumberFormat="1" applyFill="1" applyBorder="1" applyAlignment="1" applyProtection="1">
      <alignment horizontal="center" vertical="center"/>
      <protection locked="0"/>
    </xf>
    <xf numFmtId="175" fontId="0" fillId="14" borderId="32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 wrapText="1"/>
      <protection locked="0"/>
    </xf>
    <xf numFmtId="3" fontId="0" fillId="0" borderId="26" xfId="0" applyNumberFormat="1" applyBorder="1" applyAlignment="1" applyProtection="1">
      <alignment horizontal="center" vertical="center" wrapText="1"/>
      <protection locked="0"/>
    </xf>
    <xf numFmtId="3" fontId="0" fillId="0" borderId="27" xfId="0" applyNumberFormat="1" applyBorder="1" applyAlignment="1" applyProtection="1">
      <alignment horizontal="center" vertical="center" wrapText="1"/>
      <protection locked="0"/>
    </xf>
    <xf numFmtId="176" fontId="0" fillId="0" borderId="0" xfId="0" applyNumberForma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center"/>
      <protection locked="0"/>
    </xf>
    <xf numFmtId="175" fontId="40" fillId="0" borderId="0" xfId="0" applyNumberFormat="1" applyFont="1" applyAlignment="1" applyProtection="1">
      <alignment horizontal="center"/>
      <protection locked="0"/>
    </xf>
    <xf numFmtId="178" fontId="40" fillId="0" borderId="0" xfId="0" applyNumberFormat="1" applyFont="1" applyAlignment="1" applyProtection="1">
      <alignment horizontal="center"/>
      <protection locked="0"/>
    </xf>
    <xf numFmtId="178" fontId="0" fillId="0" borderId="0" xfId="0" applyNumberFormat="1" applyAlignment="1" applyProtection="1">
      <alignment horizontal="center" vertical="center" wrapText="1"/>
      <protection locked="0"/>
    </xf>
    <xf numFmtId="189" fontId="0" fillId="0" borderId="0" xfId="0" applyNumberFormat="1" applyAlignment="1" applyProtection="1">
      <alignment horizontal="center"/>
      <protection locked="0"/>
    </xf>
    <xf numFmtId="190" fontId="0" fillId="0" borderId="0" xfId="0" applyNumberFormat="1" applyAlignment="1" applyProtection="1">
      <alignment horizontal="center"/>
      <protection locked="0"/>
    </xf>
    <xf numFmtId="191" fontId="0" fillId="0" borderId="0" xfId="0" applyNumberFormat="1" applyAlignment="1" applyProtection="1">
      <alignment horizontal="center"/>
      <protection locked="0"/>
    </xf>
    <xf numFmtId="191" fontId="40" fillId="0" borderId="0" xfId="0" applyNumberFormat="1" applyFont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3" fontId="7" fillId="0" borderId="0" xfId="0" applyNumberFormat="1" applyFont="1" applyAlignment="1" applyProtection="1">
      <alignment horizontal="center" vertical="center"/>
      <protection locked="0"/>
    </xf>
    <xf numFmtId="3" fontId="7" fillId="0" borderId="22" xfId="0" applyNumberFormat="1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75" fontId="0" fillId="0" borderId="22" xfId="0" applyNumberFormat="1" applyBorder="1" applyAlignment="1" applyProtection="1">
      <alignment horizontal="center" vertical="center"/>
      <protection locked="0"/>
    </xf>
    <xf numFmtId="192" fontId="0" fillId="0" borderId="0" xfId="0" applyNumberFormat="1" applyAlignment="1" applyProtection="1">
      <alignment horizontal="center" vertical="center" wrapText="1"/>
      <protection locked="0"/>
    </xf>
    <xf numFmtId="192" fontId="64" fillId="0" borderId="0" xfId="0" applyNumberFormat="1" applyFont="1" applyAlignment="1" applyProtection="1">
      <alignment horizontal="center" vertical="center" wrapText="1"/>
      <protection locked="0"/>
    </xf>
    <xf numFmtId="0" fontId="7" fillId="13" borderId="0" xfId="0" applyFont="1" applyFill="1" applyAlignment="1" applyProtection="1">
      <alignment horizontal="center"/>
      <protection locked="0"/>
    </xf>
    <xf numFmtId="3" fontId="64" fillId="0" borderId="0" xfId="0" applyNumberFormat="1" applyFont="1" applyAlignment="1" applyProtection="1">
      <alignment horizontal="center" vertical="center" wrapText="1"/>
      <protection locked="0"/>
    </xf>
    <xf numFmtId="186" fontId="40" fillId="0" borderId="0" xfId="0" applyNumberFormat="1" applyFont="1" applyAlignment="1" applyProtection="1">
      <alignment horizontal="center"/>
      <protection locked="0"/>
    </xf>
    <xf numFmtId="175" fontId="64" fillId="0" borderId="22" xfId="0" applyNumberFormat="1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2" fontId="0" fillId="0" borderId="0" xfId="0" applyNumberFormat="1" applyAlignment="1" applyProtection="1">
      <alignment horizontal="center"/>
      <protection locked="0"/>
    </xf>
    <xf numFmtId="186" fontId="0" fillId="13" borderId="0" xfId="0" applyNumberFormat="1" applyFill="1" applyAlignment="1" applyProtection="1">
      <alignment horizontal="center"/>
      <protection locked="0"/>
    </xf>
    <xf numFmtId="192" fontId="0" fillId="0" borderId="0" xfId="0" applyNumberFormat="1" applyAlignment="1" applyProtection="1">
      <alignment horizontal="center"/>
      <protection locked="0"/>
    </xf>
    <xf numFmtId="0" fontId="64" fillId="0" borderId="0" xfId="0" applyFont="1" applyAlignment="1" applyProtection="1">
      <alignment horizontal="left" vertical="center"/>
      <protection locked="0"/>
    </xf>
    <xf numFmtId="178" fontId="0" fillId="13" borderId="0" xfId="0" applyNumberFormat="1" applyFill="1" applyAlignment="1" applyProtection="1">
      <alignment horizontal="center"/>
      <protection locked="0"/>
    </xf>
    <xf numFmtId="0" fontId="24" fillId="16" borderId="0" xfId="0" applyFont="1" applyFill="1" applyAlignment="1" applyProtection="1">
      <alignment horizontal="center" vertical="center"/>
      <protection locked="0"/>
    </xf>
    <xf numFmtId="0" fontId="24" fillId="16" borderId="0" xfId="0" applyFont="1" applyFill="1" applyAlignment="1" applyProtection="1">
      <alignment vertical="center"/>
      <protection locked="0"/>
    </xf>
    <xf numFmtId="0" fontId="0" fillId="16" borderId="0" xfId="0" applyFill="1" applyAlignment="1" applyProtection="1">
      <alignment horizontal="center" vertical="center" wrapText="1"/>
      <protection locked="0"/>
    </xf>
    <xf numFmtId="0" fontId="64" fillId="16" borderId="0" xfId="0" applyFont="1" applyFill="1" applyAlignment="1" applyProtection="1">
      <alignment horizontal="center" vertical="center" wrapText="1"/>
      <protection locked="0"/>
    </xf>
    <xf numFmtId="193" fontId="0" fillId="0" borderId="0" xfId="0" applyNumberFormat="1" applyAlignment="1" applyProtection="1">
      <alignment horizontal="center"/>
      <protection locked="0"/>
    </xf>
    <xf numFmtId="193" fontId="64" fillId="0" borderId="0" xfId="0" applyNumberFormat="1" applyFont="1" applyAlignment="1" applyProtection="1">
      <alignment horizontal="center"/>
      <protection locked="0"/>
    </xf>
    <xf numFmtId="0" fontId="67" fillId="18" borderId="0" xfId="0" applyFont="1" applyFill="1" applyAlignment="1" applyProtection="1">
      <alignment horizontal="center" vertical="center"/>
      <protection locked="0"/>
    </xf>
    <xf numFmtId="0" fontId="68" fillId="18" borderId="0" xfId="0" applyFont="1" applyFill="1" applyAlignment="1" applyProtection="1">
      <alignment horizontal="left" vertical="center"/>
      <protection locked="0"/>
    </xf>
    <xf numFmtId="0" fontId="68" fillId="18" borderId="0" xfId="0" applyFont="1" applyFill="1" applyAlignment="1" applyProtection="1">
      <alignment horizontal="center"/>
      <protection locked="0"/>
    </xf>
    <xf numFmtId="0" fontId="64" fillId="18" borderId="0" xfId="0" applyFont="1" applyFill="1" applyAlignment="1" applyProtection="1">
      <alignment horizontal="center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72" fillId="0" borderId="0" xfId="0" applyFont="1" applyAlignment="1" applyProtection="1">
      <alignment horizontal="right" vertical="center"/>
      <protection locked="0"/>
    </xf>
    <xf numFmtId="0" fontId="72" fillId="0" borderId="0" xfId="0" applyFont="1" applyAlignment="1" applyProtection="1">
      <alignment horizontal="center"/>
      <protection locked="0"/>
    </xf>
    <xf numFmtId="175" fontId="0" fillId="13" borderId="0" xfId="0" applyNumberFormat="1" applyFill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3" fontId="40" fillId="0" borderId="0" xfId="0" applyNumberFormat="1" applyFont="1" applyAlignment="1" applyProtection="1">
      <alignment horizontal="center" vertical="center"/>
      <protection locked="0"/>
    </xf>
    <xf numFmtId="4" fontId="0" fillId="13" borderId="0" xfId="0" applyNumberFormat="1" applyFill="1" applyAlignment="1" applyProtection="1">
      <alignment horizontal="center"/>
      <protection locked="0"/>
    </xf>
    <xf numFmtId="4" fontId="40" fillId="0" borderId="0" xfId="0" applyNumberFormat="1" applyFont="1" applyAlignment="1" applyProtection="1">
      <alignment horizontal="center"/>
      <protection locked="0"/>
    </xf>
    <xf numFmtId="3" fontId="72" fillId="13" borderId="0" xfId="0" applyNumberFormat="1" applyFont="1" applyFill="1" applyAlignment="1" applyProtection="1">
      <alignment horizontal="center"/>
      <protection locked="0"/>
    </xf>
    <xf numFmtId="2" fontId="0" fillId="13" borderId="0" xfId="0" applyNumberFormat="1" applyFill="1" applyAlignment="1" applyProtection="1">
      <alignment horizontal="center"/>
      <protection locked="0"/>
    </xf>
    <xf numFmtId="4" fontId="0" fillId="0" borderId="0" xfId="0" applyNumberFormat="1" applyAlignment="1" applyProtection="1">
      <alignment horizontal="center"/>
      <protection locked="0"/>
    </xf>
    <xf numFmtId="4" fontId="0" fillId="0" borderId="0" xfId="0" applyNumberFormat="1" applyAlignment="1" applyProtection="1">
      <alignment horizontal="center" vertical="center" wrapText="1"/>
      <protection locked="0"/>
    </xf>
    <xf numFmtId="4" fontId="64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  <protection locked="0" hidden="1"/>
    </xf>
    <xf numFmtId="3" fontId="0" fillId="0" borderId="0" xfId="0" applyNumberFormat="1" applyAlignment="1">
      <alignment horizontal="center"/>
      <protection locked="0" hidden="1"/>
    </xf>
    <xf numFmtId="0" fontId="0" fillId="0" borderId="33" xfId="0" applyBorder="1" applyAlignment="1">
      <alignment horizontal="center"/>
      <protection locked="0" hidden="1"/>
    </xf>
    <xf numFmtId="0" fontId="0" fillId="0" borderId="25" xfId="0" applyBorder="1" applyAlignment="1">
      <alignment horizontal="center"/>
      <protection locked="0" hidden="1"/>
    </xf>
    <xf numFmtId="0" fontId="0" fillId="0" borderId="26" xfId="0" applyBorder="1" applyAlignment="1">
      <alignment horizontal="center"/>
      <protection locked="0" hidden="1"/>
    </xf>
    <xf numFmtId="0" fontId="0" fillId="0" borderId="28" xfId="0" applyBorder="1" applyAlignment="1">
      <alignment horizontal="center"/>
      <protection locked="0" hidden="1"/>
    </xf>
    <xf numFmtId="3" fontId="39" fillId="0" borderId="0" xfId="0" applyNumberFormat="1" applyFont="1" applyAlignment="1">
      <alignment horizontal="center"/>
      <protection locked="0" hidden="1"/>
    </xf>
    <xf numFmtId="0" fontId="39" fillId="0" borderId="0" xfId="0" applyFont="1">
      <protection locked="0" hidden="1"/>
    </xf>
    <xf numFmtId="0" fontId="0" fillId="0" borderId="30" xfId="0" applyBorder="1" applyAlignment="1">
      <alignment horizontal="center"/>
      <protection locked="0" hidden="1"/>
    </xf>
    <xf numFmtId="0" fontId="0" fillId="0" borderId="32" xfId="0" applyBorder="1" applyAlignment="1">
      <alignment horizontal="center"/>
      <protection locked="0" hidden="1"/>
    </xf>
    <xf numFmtId="0" fontId="0" fillId="0" borderId="0" xfId="0" applyAlignment="1">
      <alignment horizontal="left"/>
      <protection locked="0" hidden="1"/>
    </xf>
    <xf numFmtId="0" fontId="0" fillId="0" borderId="21" xfId="0" applyBorder="1" applyAlignment="1">
      <alignment horizontal="center"/>
      <protection locked="0" hidden="1"/>
    </xf>
    <xf numFmtId="0" fontId="0" fillId="0" borderId="22" xfId="0" applyBorder="1" applyAlignment="1">
      <alignment horizontal="center"/>
      <protection locked="0" hidden="1"/>
    </xf>
    <xf numFmtId="3" fontId="0" fillId="0" borderId="33" xfId="0" applyNumberFormat="1" applyBorder="1" applyAlignment="1">
      <alignment horizontal="center"/>
      <protection locked="0" hidden="1"/>
    </xf>
    <xf numFmtId="3" fontId="0" fillId="0" borderId="29" xfId="0" applyNumberFormat="1" applyBorder="1" applyAlignment="1">
      <alignment horizontal="center"/>
      <protection locked="0" hidden="1"/>
    </xf>
    <xf numFmtId="3" fontId="0" fillId="0" borderId="25" xfId="0" applyNumberFormat="1" applyBorder="1" applyAlignment="1">
      <alignment horizontal="center"/>
      <protection locked="0" hidden="1"/>
    </xf>
    <xf numFmtId="3" fontId="0" fillId="0" borderId="21" xfId="0" applyNumberFormat="1" applyBorder="1" applyAlignment="1">
      <alignment horizontal="center"/>
      <protection locked="0" hidden="1"/>
    </xf>
    <xf numFmtId="3" fontId="0" fillId="0" borderId="22" xfId="0" applyNumberFormat="1" applyBorder="1" applyAlignment="1">
      <alignment horizontal="center"/>
      <protection locked="0" hidden="1"/>
    </xf>
    <xf numFmtId="3" fontId="0" fillId="0" borderId="26" xfId="0" applyNumberFormat="1" applyBorder="1" applyAlignment="1">
      <alignment horizontal="center"/>
      <protection locked="0" hidden="1"/>
    </xf>
    <xf numFmtId="3" fontId="0" fillId="0" borderId="27" xfId="0" applyNumberFormat="1" applyBorder="1" applyAlignment="1">
      <alignment horizontal="center"/>
      <protection locked="0" hidden="1"/>
    </xf>
    <xf numFmtId="3" fontId="0" fillId="0" borderId="28" xfId="0" applyNumberFormat="1" applyBorder="1" applyAlignment="1">
      <alignment horizontal="center"/>
      <protection locked="0" hidden="1"/>
    </xf>
    <xf numFmtId="0" fontId="67" fillId="6" borderId="0" xfId="0" applyFont="1" applyFill="1" applyAlignment="1">
      <alignment horizontal="right"/>
      <protection locked="0" hidden="1"/>
    </xf>
    <xf numFmtId="3" fontId="67" fillId="6" borderId="0" xfId="0" applyNumberFormat="1" applyFont="1" applyFill="1" applyAlignment="1">
      <alignment horizontal="center"/>
      <protection locked="0" hidden="1"/>
    </xf>
    <xf numFmtId="0" fontId="67" fillId="6" borderId="0" xfId="0" applyFont="1" applyFill="1">
      <protection locked="0" hidden="1"/>
    </xf>
    <xf numFmtId="3" fontId="0" fillId="0" borderId="30" xfId="0" applyNumberFormat="1" applyBorder="1" applyAlignment="1">
      <alignment horizontal="center"/>
      <protection locked="0" hidden="1"/>
    </xf>
    <xf numFmtId="3" fontId="0" fillId="0" borderId="31" xfId="0" applyNumberFormat="1" applyBorder="1" applyAlignment="1">
      <alignment horizontal="center"/>
      <protection locked="0" hidden="1"/>
    </xf>
    <xf numFmtId="3" fontId="0" fillId="0" borderId="32" xfId="0" applyNumberFormat="1" applyBorder="1" applyAlignment="1">
      <alignment horizontal="center"/>
      <protection locked="0" hidden="1"/>
    </xf>
    <xf numFmtId="175" fontId="67" fillId="6" borderId="0" xfId="0" applyNumberFormat="1" applyFont="1" applyFill="1" applyAlignment="1">
      <alignment horizontal="center"/>
      <protection locked="0" hidden="1"/>
    </xf>
    <xf numFmtId="3" fontId="0" fillId="0" borderId="0" xfId="0" applyNumberFormat="1">
      <protection locked="0" hidden="1"/>
    </xf>
    <xf numFmtId="175" fontId="0" fillId="0" borderId="0" xfId="0" applyNumberFormat="1" applyAlignment="1">
      <alignment horizontal="center"/>
      <protection locked="0" hidden="1"/>
    </xf>
    <xf numFmtId="0" fontId="39" fillId="23" borderId="0" xfId="0" applyFont="1" applyFill="1" applyAlignment="1" applyProtection="1">
      <alignment horizontal="center" vertical="center"/>
      <protection locked="0"/>
    </xf>
    <xf numFmtId="0" fontId="0" fillId="24" borderId="0" xfId="0" applyFill="1" applyProtection="1"/>
    <xf numFmtId="0" fontId="74" fillId="6" borderId="0" xfId="0" applyFont="1" applyFill="1" applyAlignment="1" applyProtection="1">
      <alignment horizontal="right" vertical="center"/>
    </xf>
    <xf numFmtId="0" fontId="26" fillId="0" borderId="0" xfId="0" applyFont="1" applyAlignment="1" applyProtection="1">
      <alignment horizontal="left"/>
    </xf>
    <xf numFmtId="0" fontId="76" fillId="6" borderId="0" xfId="0" applyFont="1" applyFill="1" applyAlignment="1" applyProtection="1">
      <alignment horizontal="right" vertical="center"/>
    </xf>
    <xf numFmtId="0" fontId="19" fillId="6" borderId="1" xfId="0" applyFont="1" applyFill="1" applyBorder="1" applyAlignment="1" applyProtection="1">
      <alignment horizontal="center" vertical="center"/>
    </xf>
    <xf numFmtId="3" fontId="19" fillId="6" borderId="0" xfId="0" applyNumberFormat="1" applyFont="1" applyFill="1" applyAlignment="1" applyProtection="1">
      <alignment horizontal="right" vertical="center"/>
    </xf>
    <xf numFmtId="3" fontId="19" fillId="6" borderId="1" xfId="0" applyNumberFormat="1" applyFont="1" applyFill="1" applyBorder="1" applyAlignment="1" applyProtection="1">
      <alignment horizontal="center"/>
    </xf>
    <xf numFmtId="167" fontId="19" fillId="6" borderId="1" xfId="0" applyNumberFormat="1" applyFont="1" applyFill="1" applyBorder="1" applyAlignment="1" applyProtection="1">
      <alignment horizontal="center" vertical="center"/>
    </xf>
    <xf numFmtId="3" fontId="76" fillId="6" borderId="0" xfId="0" applyNumberFormat="1" applyFont="1" applyFill="1" applyAlignment="1" applyProtection="1">
      <alignment horizontal="right" vertical="center"/>
    </xf>
    <xf numFmtId="3" fontId="21" fillId="6" borderId="0" xfId="0" applyNumberFormat="1" applyFont="1" applyFill="1" applyAlignment="1" applyProtection="1">
      <alignment horizontal="center"/>
    </xf>
    <xf numFmtId="3" fontId="21" fillId="6" borderId="0" xfId="0" applyNumberFormat="1" applyFont="1" applyFill="1" applyAlignment="1" applyProtection="1">
      <alignment horizontal="left"/>
    </xf>
    <xf numFmtId="3" fontId="21" fillId="6" borderId="0" xfId="0" applyNumberFormat="1" applyFont="1" applyFill="1" applyAlignment="1" applyProtection="1">
      <alignment horizontal="center" vertical="center"/>
    </xf>
    <xf numFmtId="0" fontId="43" fillId="4" borderId="0" xfId="0" applyFont="1" applyFill="1" applyAlignment="1" applyProtection="1">
      <alignment horizontal="center" vertical="center"/>
    </xf>
    <xf numFmtId="0" fontId="78" fillId="0" borderId="0" xfId="0" applyFont="1" applyAlignment="1" applyProtection="1">
      <alignment horizontal="center"/>
      <protection hidden="1"/>
    </xf>
    <xf numFmtId="167" fontId="19" fillId="6" borderId="0" xfId="0" applyNumberFormat="1" applyFont="1" applyFill="1" applyAlignment="1" applyProtection="1">
      <alignment horizontal="center" vertical="center"/>
    </xf>
    <xf numFmtId="164" fontId="21" fillId="6" borderId="0" xfId="0" applyNumberFormat="1" applyFont="1" applyFill="1" applyAlignment="1" applyProtection="1">
      <alignment horizontal="center" vertical="center"/>
    </xf>
    <xf numFmtId="3" fontId="9" fillId="0" borderId="0" xfId="0" applyNumberFormat="1" applyFont="1" applyAlignment="1" applyProtection="1">
      <alignment horizontal="center" vertical="center"/>
      <protection locked="0"/>
    </xf>
    <xf numFmtId="164" fontId="14" fillId="0" borderId="0" xfId="0" applyNumberFormat="1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3" fontId="75" fillId="4" borderId="0" xfId="0" applyNumberFormat="1" applyFont="1" applyFill="1" applyAlignment="1" applyProtection="1">
      <alignment horizontal="center" vertical="center"/>
      <protection locked="0"/>
    </xf>
    <xf numFmtId="3" fontId="77" fillId="0" borderId="0" xfId="0" applyNumberFormat="1" applyFont="1" applyAlignment="1" applyProtection="1">
      <alignment horizontal="left" vertical="top" wrapText="1"/>
      <protection locked="0"/>
    </xf>
    <xf numFmtId="3" fontId="26" fillId="0" borderId="0" xfId="0" applyNumberFormat="1" applyFont="1" applyAlignment="1" applyProtection="1">
      <alignment horizontal="left" vertical="top" wrapText="1"/>
      <protection locked="0"/>
    </xf>
    <xf numFmtId="168" fontId="6" fillId="6" borderId="0" xfId="0" applyNumberFormat="1" applyFont="1" applyFill="1" applyAlignment="1" applyProtection="1">
      <alignment horizontal="center" vertical="center"/>
    </xf>
    <xf numFmtId="170" fontId="6" fillId="6" borderId="0" xfId="0" applyNumberFormat="1" applyFont="1" applyFill="1" applyAlignment="1" applyProtection="1">
      <alignment horizontal="center" vertical="center"/>
    </xf>
    <xf numFmtId="171" fontId="6" fillId="6" borderId="0" xfId="0" applyNumberFormat="1" applyFont="1" applyFill="1" applyAlignment="1" applyProtection="1">
      <alignment horizontal="center" vertical="center"/>
    </xf>
    <xf numFmtId="0" fontId="1" fillId="2" borderId="34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49" fillId="12" borderId="7" xfId="0" applyFont="1" applyFill="1" applyBorder="1" applyAlignment="1" applyProtection="1">
      <alignment horizontal="center" vertical="center" wrapText="1"/>
    </xf>
    <xf numFmtId="0" fontId="49" fillId="12" borderId="8" xfId="0" applyFont="1" applyFill="1" applyBorder="1" applyAlignment="1" applyProtection="1">
      <alignment horizontal="center" vertical="center" wrapText="1"/>
    </xf>
    <xf numFmtId="0" fontId="24" fillId="6" borderId="0" xfId="0" applyFont="1" applyFill="1" applyAlignment="1" applyProtection="1">
      <alignment horizontal="right" vertical="center" wrapText="1"/>
    </xf>
    <xf numFmtId="3" fontId="22" fillId="6" borderId="0" xfId="0" applyNumberFormat="1" applyFont="1" applyFill="1" applyAlignment="1" applyProtection="1">
      <alignment horizontal="left" vertical="center" wrapText="1"/>
    </xf>
    <xf numFmtId="3" fontId="24" fillId="8" borderId="0" xfId="0" applyNumberFormat="1" applyFont="1" applyFill="1" applyAlignment="1" applyProtection="1">
      <alignment horizontal="center" vertical="center"/>
    </xf>
    <xf numFmtId="0" fontId="26" fillId="9" borderId="6" xfId="0" applyFont="1" applyFill="1" applyBorder="1" applyAlignment="1" applyProtection="1">
      <alignment horizontal="center" vertical="center"/>
    </xf>
    <xf numFmtId="3" fontId="46" fillId="0" borderId="7" xfId="0" applyNumberFormat="1" applyFont="1" applyBorder="1" applyAlignment="1" applyProtection="1">
      <alignment horizontal="center" vertical="center"/>
      <protection locked="0"/>
    </xf>
    <xf numFmtId="3" fontId="26" fillId="0" borderId="6" xfId="0" applyNumberFormat="1" applyFont="1" applyBorder="1" applyAlignment="1" applyProtection="1">
      <alignment horizontal="center" vertical="center"/>
      <protection locked="0"/>
    </xf>
    <xf numFmtId="3" fontId="26" fillId="0" borderId="8" xfId="0" applyNumberFormat="1" applyFont="1" applyBorder="1" applyAlignment="1" applyProtection="1">
      <alignment horizontal="center" vertical="center"/>
      <protection locked="0"/>
    </xf>
    <xf numFmtId="0" fontId="26" fillId="12" borderId="6" xfId="0" applyFont="1" applyFill="1" applyBorder="1" applyAlignment="1" applyProtection="1">
      <alignment horizontal="center" vertical="center"/>
    </xf>
    <xf numFmtId="178" fontId="26" fillId="0" borderId="6" xfId="1" applyFont="1" applyBorder="1" applyAlignment="1" applyProtection="1">
      <alignment horizontal="center" vertical="center"/>
      <protection locked="0"/>
    </xf>
    <xf numFmtId="0" fontId="26" fillId="12" borderId="8" xfId="0" applyFont="1" applyFill="1" applyBorder="1" applyAlignment="1" applyProtection="1">
      <alignment horizontal="center" vertical="center"/>
    </xf>
    <xf numFmtId="3" fontId="26" fillId="13" borderId="6" xfId="0" applyNumberFormat="1" applyFont="1" applyFill="1" applyBorder="1" applyAlignment="1" applyProtection="1">
      <alignment horizontal="center" vertical="center"/>
    </xf>
    <xf numFmtId="3" fontId="26" fillId="12" borderId="6" xfId="0" applyNumberFormat="1" applyFont="1" applyFill="1" applyBorder="1" applyAlignment="1" applyProtection="1">
      <alignment horizontal="center" vertical="center"/>
    </xf>
    <xf numFmtId="0" fontId="49" fillId="12" borderId="6" xfId="0" applyFont="1" applyFill="1" applyBorder="1" applyAlignment="1" applyProtection="1">
      <alignment horizontal="center" vertical="center" wrapText="1"/>
    </xf>
    <xf numFmtId="3" fontId="52" fillId="0" borderId="8" xfId="0" applyNumberFormat="1" applyFont="1" applyBorder="1" applyAlignment="1" applyProtection="1">
      <alignment horizontal="center" vertical="center"/>
      <protection locked="0"/>
    </xf>
    <xf numFmtId="3" fontId="52" fillId="0" borderId="6" xfId="0" applyNumberFormat="1" applyFont="1" applyBorder="1" applyAlignment="1" applyProtection="1">
      <alignment horizontal="center" vertical="center"/>
      <protection locked="0"/>
    </xf>
    <xf numFmtId="179" fontId="52" fillId="0" borderId="6" xfId="0" applyNumberFormat="1" applyFont="1" applyBorder="1" applyAlignment="1" applyProtection="1">
      <alignment horizontal="center" vertical="center"/>
      <protection locked="0"/>
    </xf>
    <xf numFmtId="175" fontId="52" fillId="2" borderId="6" xfId="0" applyNumberFormat="1" applyFont="1" applyFill="1" applyBorder="1" applyAlignment="1" applyProtection="1">
      <alignment horizontal="center" vertical="center"/>
    </xf>
    <xf numFmtId="179" fontId="52" fillId="0" borderId="8" xfId="0" applyNumberFormat="1" applyFont="1" applyBorder="1" applyAlignment="1" applyProtection="1">
      <alignment horizontal="center" vertical="center"/>
      <protection locked="0"/>
    </xf>
    <xf numFmtId="3" fontId="9" fillId="7" borderId="0" xfId="0" applyNumberFormat="1" applyFont="1" applyFill="1" applyAlignment="1" applyProtection="1">
      <alignment horizontal="center" vertical="center"/>
      <protection locked="0"/>
    </xf>
    <xf numFmtId="3" fontId="24" fillId="6" borderId="0" xfId="0" applyNumberFormat="1" applyFont="1" applyFill="1" applyAlignment="1" applyProtection="1">
      <alignment horizontal="right" vertical="center"/>
    </xf>
    <xf numFmtId="3" fontId="24" fillId="6" borderId="0" xfId="0" applyNumberFormat="1" applyFont="1" applyFill="1" applyAlignment="1" applyProtection="1">
      <alignment horizontal="right" vertical="center" wrapText="1"/>
    </xf>
    <xf numFmtId="0" fontId="24" fillId="6" borderId="0" xfId="0" applyFont="1" applyFill="1" applyAlignment="1" applyProtection="1">
      <alignment horizontal="right" vertical="center"/>
    </xf>
    <xf numFmtId="194" fontId="0" fillId="0" borderId="0" xfId="0" applyNumberFormat="1" applyAlignment="1" applyProtection="1">
      <alignment horizontal="center" vertical="center"/>
      <protection hidden="1"/>
    </xf>
    <xf numFmtId="182" fontId="0" fillId="0" borderId="0" xfId="0" applyNumberFormat="1" applyAlignment="1" applyProtection="1">
      <alignment horizontal="left" vertical="center"/>
      <protection hidden="1"/>
    </xf>
    <xf numFmtId="3" fontId="19" fillId="6" borderId="0" xfId="0" applyNumberFormat="1" applyFont="1" applyFill="1" applyAlignment="1" applyProtection="1">
      <alignment horizontal="center" vertical="center"/>
    </xf>
    <xf numFmtId="0" fontId="0" fillId="0" borderId="0" xfId="0" applyAlignment="1" applyProtection="1">
      <alignment horizontal="center"/>
      <protection hidden="1"/>
    </xf>
    <xf numFmtId="195" fontId="0" fillId="0" borderId="0" xfId="0" applyNumberFormat="1" applyAlignment="1" applyProtection="1">
      <alignment horizontal="center" vertical="center"/>
      <protection hidden="1"/>
    </xf>
    <xf numFmtId="0" fontId="78" fillId="0" borderId="0" xfId="0" applyFont="1" applyAlignment="1" applyProtection="1">
      <alignment horizontal="center"/>
      <protection hidden="1"/>
    </xf>
    <xf numFmtId="0" fontId="0" fillId="0" borderId="20" xfId="0" applyBorder="1" applyAlignment="1" applyProtection="1">
      <alignment horizontal="center" vertical="center" wrapText="1"/>
    </xf>
    <xf numFmtId="3" fontId="20" fillId="6" borderId="0" xfId="0" applyNumberFormat="1" applyFont="1" applyFill="1" applyAlignment="1" applyProtection="1">
      <alignment horizontal="center" vertical="center" wrapText="1"/>
    </xf>
    <xf numFmtId="0" fontId="65" fillId="0" borderId="23" xfId="0" applyFont="1" applyBorder="1" applyAlignment="1" applyProtection="1">
      <alignment horizontal="center" vertical="center"/>
      <protection locked="0"/>
    </xf>
    <xf numFmtId="3" fontId="0" fillId="0" borderId="0" xfId="0" applyNumberFormat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 wrapText="1"/>
      <protection locked="0"/>
    </xf>
  </cellXfs>
  <cellStyles count="4">
    <cellStyle name="ConditionalStyle_4 1" xfId="3" xr:uid="{00000000-0005-0000-0000-000007000000}"/>
    <cellStyle name="Normal" xfId="0" builtinId="0"/>
    <cellStyle name="Pourcentage" xfId="1" builtinId="5"/>
    <cellStyle name="sans rénovation" xfId="2" xr:uid="{00000000-0005-0000-0000-000006000000}"/>
  </cellStyles>
  <dxfs count="50">
    <dxf>
      <font>
        <color rgb="FF808080"/>
        <name val="Arial Narrow"/>
        <family val="2"/>
        <charset val="1"/>
      </font>
      <fill>
        <patternFill>
          <bgColor rgb="FFFFF2CC"/>
        </patternFill>
      </fill>
    </dxf>
    <dxf>
      <font>
        <color rgb="FF808080"/>
        <name val="Arial Narrow"/>
        <family val="2"/>
        <charset val="1"/>
      </font>
      <fill>
        <patternFill>
          <bgColor rgb="FFFFF2CC"/>
        </patternFill>
      </fill>
    </dxf>
    <dxf>
      <font>
        <color rgb="FF808080"/>
        <name val="Arial Narrow"/>
        <family val="2"/>
        <charset val="1"/>
      </font>
      <fill>
        <patternFill>
          <bgColor rgb="FFFBE5D6"/>
        </patternFill>
      </fill>
    </dxf>
    <dxf>
      <font>
        <color rgb="FF808080"/>
        <name val="Arial Narrow"/>
        <family val="2"/>
        <charset val="1"/>
      </font>
      <fill>
        <patternFill>
          <bgColor rgb="FFFBE5D6"/>
        </patternFill>
      </fill>
    </dxf>
    <dxf>
      <font>
        <color rgb="FF808080"/>
        <name val="Arial Narrow"/>
        <family val="2"/>
        <charset val="1"/>
      </font>
      <fill>
        <patternFill>
          <bgColor rgb="FFFBE5D6"/>
        </patternFill>
      </fill>
    </dxf>
    <dxf>
      <font>
        <color rgb="FF808080"/>
        <name val="Arial Narrow"/>
        <family val="2"/>
        <charset val="1"/>
      </font>
      <fill>
        <patternFill>
          <bgColor rgb="FFEBF5F5"/>
        </patternFill>
      </fill>
    </dxf>
    <dxf>
      <font>
        <color rgb="FF808080"/>
        <name val="Arial Narrow"/>
        <family val="2"/>
        <charset val="1"/>
      </font>
      <fill>
        <patternFill>
          <bgColor rgb="FFEBF5F5"/>
        </patternFill>
      </fill>
    </dxf>
    <dxf>
      <font>
        <color rgb="FF808080"/>
        <name val="Arial Narrow"/>
        <family val="2"/>
        <charset val="1"/>
      </font>
      <fill>
        <patternFill>
          <bgColor rgb="FFEBF5F5"/>
        </patternFill>
      </fill>
    </dxf>
    <dxf>
      <font>
        <color rgb="FF808080"/>
        <name val="Arial Narrow"/>
        <family val="2"/>
        <charset val="1"/>
      </font>
      <fill>
        <patternFill>
          <bgColor rgb="FFF2F2F2"/>
        </patternFill>
      </fill>
    </dxf>
    <dxf>
      <font>
        <color rgb="FF808080"/>
        <name val="Arial Narrow"/>
        <family val="2"/>
        <charset val="1"/>
      </font>
      <fill>
        <patternFill>
          <bgColor rgb="FFFFFFCC"/>
        </patternFill>
      </fill>
    </dxf>
    <dxf>
      <font>
        <color rgb="FF808080"/>
        <name val="Arial Narrow"/>
        <family val="2"/>
        <charset val="1"/>
      </font>
      <fill>
        <patternFill>
          <bgColor rgb="FFFFFFCC"/>
        </patternFill>
      </fill>
    </dxf>
    <dxf>
      <font>
        <color rgb="FF808080"/>
        <name val="Arial Narrow"/>
        <family val="2"/>
        <charset val="1"/>
      </font>
      <fill>
        <patternFill>
          <bgColor rgb="FFFFFFCC"/>
        </patternFill>
      </fill>
    </dxf>
    <dxf>
      <font>
        <color rgb="FF808080"/>
        <name val="Arial Narrow"/>
        <family val="2"/>
        <charset val="1"/>
      </font>
      <fill>
        <patternFill>
          <bgColor rgb="FFFFFFCC"/>
        </patternFill>
      </fill>
    </dxf>
    <dxf>
      <font>
        <color rgb="FF808080"/>
        <name val="Arial Narrow"/>
        <family val="2"/>
        <charset val="1"/>
      </font>
      <fill>
        <patternFill>
          <bgColor rgb="FFFFFFCC"/>
        </patternFill>
      </fill>
    </dxf>
    <dxf>
      <font>
        <color rgb="FF808080"/>
        <name val="Arial Narrow"/>
        <family val="2"/>
        <charset val="1"/>
      </font>
      <fill>
        <patternFill>
          <bgColor rgb="FFFFFFCC"/>
        </patternFill>
      </fill>
    </dxf>
    <dxf>
      <font>
        <color rgb="FF808080"/>
        <name val="Arial Narrow"/>
        <family val="2"/>
        <charset val="1"/>
      </font>
      <fill>
        <patternFill>
          <bgColor rgb="FFFFF2CC"/>
        </patternFill>
      </fill>
    </dxf>
    <dxf>
      <font>
        <color rgb="FF808080"/>
        <name val="Arial Narrow"/>
        <family val="2"/>
        <charset val="1"/>
      </font>
      <fill>
        <patternFill>
          <bgColor rgb="FFFFF2CC"/>
        </patternFill>
      </fill>
    </dxf>
    <dxf>
      <font>
        <color rgb="FF808080"/>
        <name val="Arial Narrow"/>
        <family val="2"/>
        <charset val="1"/>
      </font>
      <fill>
        <patternFill>
          <bgColor rgb="FFFFF2CC"/>
        </patternFill>
      </fill>
    </dxf>
    <dxf>
      <font>
        <color rgb="FF808080"/>
        <name val="Arial Narrow"/>
        <family val="2"/>
        <charset val="1"/>
      </font>
      <fill>
        <patternFill>
          <bgColor rgb="FFFBE5D6"/>
        </patternFill>
      </fill>
    </dxf>
    <dxf>
      <font>
        <color rgb="FF808080"/>
        <name val="Arial Narrow"/>
        <family val="2"/>
        <charset val="1"/>
      </font>
      <fill>
        <patternFill>
          <bgColor rgb="FFFBE5D6"/>
        </patternFill>
      </fill>
    </dxf>
    <dxf>
      <font>
        <color rgb="FF808080"/>
        <name val="Arial Narrow"/>
        <family val="2"/>
        <charset val="1"/>
      </font>
      <fill>
        <patternFill>
          <bgColor rgb="FFFBE5D6"/>
        </patternFill>
      </fill>
    </dxf>
    <dxf>
      <font>
        <color rgb="FF808080"/>
        <name val="Arial Narrow"/>
        <family val="2"/>
        <charset val="1"/>
      </font>
      <fill>
        <patternFill>
          <bgColor rgb="FFFBE5D6"/>
        </patternFill>
      </fill>
    </dxf>
    <dxf>
      <font>
        <color rgb="FF808080"/>
        <name val="Arial Narrow"/>
        <family val="2"/>
        <charset val="1"/>
      </font>
      <fill>
        <patternFill>
          <bgColor rgb="FFFBE5D6"/>
        </patternFill>
      </fill>
    </dxf>
    <dxf>
      <font>
        <color rgb="FF808080"/>
        <name val="Arial Narrow"/>
        <family val="2"/>
        <charset val="1"/>
      </font>
      <fill>
        <patternFill>
          <bgColor rgb="FFFBE5D6"/>
        </patternFill>
      </fill>
    </dxf>
    <dxf>
      <font>
        <color rgb="FF808080"/>
        <name val="Arial Narrow"/>
        <family val="2"/>
        <charset val="1"/>
      </font>
      <fill>
        <patternFill>
          <bgColor rgb="FFEBF5F5"/>
        </patternFill>
      </fill>
    </dxf>
    <dxf>
      <font>
        <color rgb="FF808080"/>
        <name val="Arial Narrow"/>
        <family val="2"/>
        <charset val="1"/>
      </font>
      <fill>
        <patternFill>
          <bgColor rgb="FFEBF5F5"/>
        </patternFill>
      </fill>
    </dxf>
    <dxf>
      <font>
        <color rgb="FF808080"/>
        <name val="Arial Narrow"/>
        <family val="2"/>
        <charset val="1"/>
      </font>
      <fill>
        <patternFill>
          <bgColor rgb="FFEBF5F5"/>
        </patternFill>
      </fill>
    </dxf>
    <dxf>
      <font>
        <color rgb="FF808080"/>
        <name val="Arial Narrow"/>
        <family val="2"/>
        <charset val="1"/>
      </font>
      <fill>
        <patternFill>
          <bgColor rgb="FFEBF5F5"/>
        </patternFill>
      </fill>
    </dxf>
    <dxf>
      <font>
        <color rgb="FF808080"/>
        <name val="Arial Narrow"/>
        <family val="2"/>
        <charset val="1"/>
      </font>
      <fill>
        <patternFill>
          <bgColor rgb="FFF2F2F2"/>
        </patternFill>
      </fill>
    </dxf>
    <dxf>
      <font>
        <color rgb="FF808080"/>
        <name val="Arial Narrow"/>
        <family val="2"/>
        <charset val="1"/>
      </font>
      <fill>
        <patternFill>
          <bgColor rgb="FFFFFFCC"/>
        </patternFill>
      </fill>
    </dxf>
    <dxf>
      <font>
        <color rgb="FF808080"/>
        <name val="Arial Narrow"/>
        <family val="2"/>
        <charset val="1"/>
      </font>
      <fill>
        <patternFill>
          <bgColor rgb="FFFFFFCC"/>
        </patternFill>
      </fill>
    </dxf>
    <dxf>
      <font>
        <color rgb="FF808080"/>
        <name val="Arial Narrow"/>
        <family val="2"/>
        <charset val="1"/>
      </font>
      <fill>
        <patternFill>
          <bgColor rgb="FFFFFFCC"/>
        </patternFill>
      </fill>
    </dxf>
    <dxf>
      <font>
        <color rgb="FF808080"/>
        <name val="Arial Narrow"/>
        <family val="2"/>
        <charset val="1"/>
      </font>
      <fill>
        <patternFill>
          <bgColor rgb="FFFFFFCC"/>
        </patternFill>
      </fill>
    </dxf>
    <dxf>
      <font>
        <color rgb="FF808080"/>
        <name val="Arial Narrow"/>
        <family val="2"/>
        <charset val="1"/>
      </font>
      <fill>
        <patternFill>
          <bgColor rgb="FFFFFFCC"/>
        </patternFill>
      </fill>
    </dxf>
    <dxf>
      <font>
        <color rgb="FF808080"/>
        <name val="Arial Narrow"/>
        <family val="2"/>
        <charset val="1"/>
      </font>
      <fill>
        <patternFill>
          <bgColor rgb="FFFFFFCC"/>
        </patternFill>
      </fill>
    </dxf>
    <dxf>
      <font>
        <color rgb="FF808080"/>
        <name val="Arial Narrow"/>
        <family val="2"/>
        <charset val="1"/>
      </font>
      <fill>
        <patternFill>
          <bgColor rgb="FFF2F2F2"/>
        </patternFill>
      </fill>
    </dxf>
    <dxf>
      <font>
        <color rgb="FFB3C781"/>
      </font>
      <fill>
        <patternFill>
          <bgColor rgb="FFB3C781"/>
        </patternFill>
      </fill>
    </dxf>
    <dxf>
      <font>
        <color rgb="FFB3C781"/>
      </font>
      <fill>
        <patternFill>
          <bgColor rgb="FFB3C781"/>
        </patternFill>
      </fill>
      <border diagonalUp="0" diagonalDown="0">
        <left/>
        <right/>
        <top/>
        <bottom/>
      </border>
    </dxf>
    <dxf>
      <font>
        <color rgb="FFB3C781"/>
      </font>
      <fill>
        <patternFill>
          <bgColor rgb="FFB3C781"/>
        </patternFill>
      </fill>
    </dxf>
    <dxf>
      <font>
        <color rgb="FFB3C781"/>
      </font>
      <fill>
        <patternFill>
          <bgColor rgb="FFB3C781"/>
        </patternFill>
      </fill>
    </dxf>
    <dxf>
      <font>
        <color rgb="FF808080"/>
        <name val="Arial Narrow"/>
        <family val="2"/>
        <charset val="1"/>
      </font>
      <fill>
        <patternFill>
          <bgColor rgb="FFF2F2F2"/>
        </patternFill>
      </fill>
    </dxf>
    <dxf>
      <font>
        <color rgb="FFB3C781"/>
      </font>
      <fill>
        <patternFill>
          <bgColor rgb="FFB3C781"/>
        </patternFill>
      </fill>
    </dxf>
    <dxf>
      <font>
        <color rgb="FF808080"/>
        <name val="Arial Narrow"/>
        <family val="2"/>
        <charset val="1"/>
      </font>
      <fill>
        <patternFill>
          <bgColor rgb="FFFFFFCC"/>
        </patternFill>
      </fill>
    </dxf>
    <dxf>
      <font>
        <color rgb="FFB3C781"/>
      </font>
      <fill>
        <patternFill>
          <bgColor rgb="FFB3C781"/>
        </patternFill>
      </fill>
    </dxf>
    <dxf>
      <font>
        <color rgb="FFB3C781"/>
      </font>
      <fill>
        <patternFill>
          <bgColor rgb="FFB3C781"/>
        </patternFill>
      </fill>
    </dxf>
    <dxf>
      <font>
        <color rgb="FFB3C781"/>
      </font>
    </dxf>
    <dxf>
      <font>
        <color rgb="FFB3C781"/>
      </font>
      <fill>
        <patternFill>
          <bgColor rgb="FFB3C781"/>
        </patternFill>
      </fill>
    </dxf>
    <dxf>
      <font>
        <color rgb="FFB3C781"/>
      </font>
      <fill>
        <patternFill>
          <bgColor rgb="FFB3C781"/>
        </patternFill>
      </fill>
      <border diagonalUp="0" diagonalDown="0">
        <left/>
        <right/>
        <top/>
        <bottom/>
      </border>
    </dxf>
    <dxf>
      <font>
        <color rgb="FFB3C781"/>
      </font>
      <fill>
        <patternFill>
          <bgColor rgb="FFB3C781"/>
        </patternFill>
      </fill>
    </dxf>
    <dxf>
      <font>
        <color rgb="FFB3C781"/>
      </font>
      <fill>
        <patternFill>
          <bgColor rgb="FFB3C781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D320"/>
      <rgbColor rgb="FFFF00FF"/>
      <rgbColor rgb="FFE6E6FF"/>
      <rgbColor rgb="FF7E0021"/>
      <rgbColor rgb="FF008000"/>
      <rgbColor rgb="FF000080"/>
      <rgbColor rgb="FF869F47"/>
      <rgbColor rgb="FF800080"/>
      <rgbColor rgb="FF156082"/>
      <rgbColor rgb="FFC0C0C0"/>
      <rgbColor rgb="FF808080"/>
      <rgbColor rgb="FFBFBFBF"/>
      <rgbColor rgb="FF993366"/>
      <rgbColor rgb="FFFFFFCC"/>
      <rgbColor rgb="FFEBF6F5"/>
      <rgbColor rgb="FF660066"/>
      <rgbColor rgb="FFED7D31"/>
      <rgbColor rgb="FF0066CC"/>
      <rgbColor rgb="FFD9D9D9"/>
      <rgbColor rgb="FF000080"/>
      <rgbColor rgb="FFFF00FF"/>
      <rgbColor rgb="FFFBE5D6"/>
      <rgbColor rgb="FFEBF5F5"/>
      <rgbColor rgb="FF800080"/>
      <rgbColor rgb="FF800000"/>
      <rgbColor rgb="FF008080"/>
      <rgbColor rgb="FF0000FF"/>
      <rgbColor rgb="FFF2F2F2"/>
      <rgbColor rgb="FFCFE7F5"/>
      <rgbColor rgb="FFE7EDD7"/>
      <rgbColor rgb="FFFFF2CC"/>
      <rgbColor rgb="FF83CAFF"/>
      <rgbColor rgb="FFF3E09E"/>
      <rgbColor rgb="FFB3B3B3"/>
      <rgbColor rgb="FFF9C19A"/>
      <rgbColor rgb="FFF8F8F8"/>
      <rgbColor rgb="FFBEDCDD"/>
      <rgbColor rgb="FFB3C781"/>
      <rgbColor rgb="FFFFC000"/>
      <rgbColor rgb="FFE6E6E6"/>
      <rgbColor rgb="FFE97132"/>
      <rgbColor rgb="FF595959"/>
      <rgbColor rgb="FF7F7F7F"/>
      <rgbColor rgb="FF004586"/>
      <rgbColor rgb="FF579D1C"/>
      <rgbColor rgb="FF003300"/>
      <rgbColor rgb="FF314004"/>
      <rgbColor rgb="FFFF420E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3C7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lang="fr-FR" sz="1300" b="0" u="none" strike="noStrike">
                <a:uFillTx/>
                <a:latin typeface="Arial"/>
              </a:defRPr>
            </a:pPr>
            <a:r>
              <a:rPr lang="fr-FR" sz="1600" b="1" u="none" strike="noStrike">
                <a:solidFill>
                  <a:srgbClr val="FFFFFF"/>
                </a:solidFill>
                <a:uFillTx/>
                <a:latin typeface="Arial Narrow"/>
              </a:rPr>
              <a:t>Jauge construction</a:t>
            </a:r>
          </a:p>
        </c:rich>
      </c:tx>
      <c:layout>
        <c:manualLayout>
          <c:xMode val="edge"/>
          <c:yMode val="edge"/>
          <c:x val="0.16969154487109098"/>
          <c:y val="0.1904137193438574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686980609418298"/>
          <c:y val="0.47226635097080827"/>
          <c:w val="0.29866532359607201"/>
          <c:h val="0.45270029857632199"/>
        </c:manualLayout>
      </c:layout>
      <c:scatterChart>
        <c:scatterStyle val="lineMarker"/>
        <c:varyColors val="0"/>
        <c:ser>
          <c:idx val="0"/>
          <c:order val="0"/>
          <c:tx>
            <c:strRef>
              <c:f>PROJET!$J$28</c:f>
              <c:strCache>
                <c:ptCount val="1"/>
                <c:pt idx="0">
                  <c:v>min</c:v>
                </c:pt>
              </c:strCache>
            </c:strRef>
          </c:tx>
          <c:spPr>
            <a:ln w="28800">
              <a:noFill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lang="fr-FR"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800">
                      <a:noFill/>
                    </a:ln>
                  </c:spPr>
                </c15:leaderLines>
              </c:ext>
            </c:extLst>
          </c:dLbls>
          <c:xVal>
            <c:strRef>
              <c:f>PROJET!$K$27</c:f>
              <c:strCache>
                <c:ptCount val="1"/>
                <c:pt idx="0">
                  <c:v>Note TEC-Tec</c:v>
                </c:pt>
              </c:strCache>
            </c:strRef>
          </c:xVal>
          <c:yVal>
            <c:numRef>
              <c:f>PROJET!$K$28</c:f>
              <c:numCache>
                <c:formatCode>#,##0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783-4A88-BD01-462D68178E11}"/>
            </c:ext>
          </c:extLst>
        </c:ser>
        <c:ser>
          <c:idx val="1"/>
          <c:order val="1"/>
          <c:tx>
            <c:strRef>
              <c:f>PROJET!$J$29</c:f>
              <c:strCache>
                <c:ptCount val="1"/>
                <c:pt idx="0">
                  <c:v>oiseau</c:v>
                </c:pt>
              </c:strCache>
            </c:strRef>
          </c:tx>
          <c:spPr>
            <a:ln w="28800">
              <a:noFill/>
            </a:ln>
            <a:effectLst>
              <a:outerShdw blurRad="76200" dist="50800" dir="5400000" sx="130000" sy="130000" algn="ctr" rotWithShape="0">
                <a:schemeClr val="bg1"/>
              </a:outerShdw>
            </a:effectLst>
          </c:spPr>
          <c:marker>
            <c:symbol val="circle"/>
            <c:size val="33"/>
            <c:spPr>
              <a:blipFill dpi="0" rotWithShape="1">
                <a:blip xmlns:r="http://schemas.openxmlformats.org/officeDocument/2006/relationships" r:embed="rId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effectLst>
                <a:outerShdw blurRad="76200" dist="50800" dir="5400000" sx="130000" sy="130000" algn="ctr" rotWithShape="0">
                  <a:schemeClr val="bg1"/>
                </a:outerShdw>
              </a:effectLst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4783-4A88-BD01-462D68178E11}"/>
              </c:ext>
            </c:extLst>
          </c:dPt>
          <c:dLbls>
            <c:dLbl>
              <c:idx val="0"/>
              <c:spPr/>
              <c:txPr>
                <a:bodyPr wrap="none"/>
                <a:lstStyle/>
                <a:p>
                  <a:pPr>
                    <a:defRPr lang="fr-FR" sz="1000" b="0" u="none" strike="noStrik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83-4A88-BD01-462D68178E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lang="fr-FR"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800">
                      <a:noFill/>
                    </a:ln>
                  </c:spPr>
                </c15:leaderLines>
              </c:ext>
            </c:extLst>
          </c:dLbls>
          <c:xVal>
            <c:strRef>
              <c:f>PROJET!$K$27</c:f>
              <c:strCache>
                <c:ptCount val="1"/>
                <c:pt idx="0">
                  <c:v>Note TEC-Tec</c:v>
                </c:pt>
              </c:strCache>
            </c:strRef>
          </c:xVal>
          <c:yVal>
            <c:numRef>
              <c:f>PROJET!$K$29</c:f>
              <c:numCache>
                <c:formatCode>00" points"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783-4A88-BD01-462D68178E11}"/>
            </c:ext>
          </c:extLst>
        </c:ser>
        <c:ser>
          <c:idx val="2"/>
          <c:order val="2"/>
          <c:tx>
            <c:strRef>
              <c:f>PROJET!$J$30</c:f>
              <c:strCache>
                <c:ptCount val="1"/>
                <c:pt idx="0">
                  <c:v>max</c:v>
                </c:pt>
              </c:strCache>
            </c:strRef>
          </c:tx>
          <c:spPr>
            <a:ln w="28800">
              <a:noFill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lang="fr-FR"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800">
                      <a:noFill/>
                    </a:ln>
                  </c:spPr>
                </c15:leaderLines>
              </c:ext>
            </c:extLst>
          </c:dLbls>
          <c:xVal>
            <c:strRef>
              <c:f>PROJET!$K$27</c:f>
              <c:strCache>
                <c:ptCount val="1"/>
                <c:pt idx="0">
                  <c:v>Note TEC-Tec</c:v>
                </c:pt>
              </c:strCache>
            </c:strRef>
          </c:xVal>
          <c:yVal>
            <c:numRef>
              <c:f>PROJET!$K$30</c:f>
              <c:numCache>
                <c:formatCode>General</c:formatCode>
                <c:ptCount val="1"/>
                <c:pt idx="0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783-4A88-BD01-462D68178E11}"/>
            </c:ext>
          </c:extLst>
        </c:ser>
        <c:ser>
          <c:idx val="3"/>
          <c:order val="3"/>
          <c:tx>
            <c:strRef>
              <c:f>PROJET!$J$28</c:f>
              <c:strCache>
                <c:ptCount val="1"/>
                <c:pt idx="0">
                  <c:v>min</c:v>
                </c:pt>
              </c:strCache>
            </c:strRef>
          </c:tx>
          <c:spPr>
            <a:ln w="38100">
              <a:noFill/>
            </a:ln>
          </c:spPr>
          <c:marker>
            <c:symbol val="none"/>
          </c:marker>
          <c:xVal>
            <c:strRef>
              <c:f>PROJET!$K$27</c:f>
              <c:strCache>
                <c:ptCount val="1"/>
                <c:pt idx="0">
                  <c:v>Note TEC-Tec</c:v>
                </c:pt>
              </c:strCache>
            </c:strRef>
          </c:xVal>
          <c:yVal>
            <c:numRef>
              <c:f>PROJET!$K$28</c:f>
              <c:numCache>
                <c:formatCode>#,##0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82C-4E38-AE54-B3D0956E06A0}"/>
            </c:ext>
          </c:extLst>
        </c:ser>
        <c:ser>
          <c:idx val="4"/>
          <c:order val="4"/>
          <c:tx>
            <c:strRef>
              <c:f>PROJET!$J$29</c:f>
              <c:strCache>
                <c:ptCount val="1"/>
                <c:pt idx="0">
                  <c:v>oiseau</c:v>
                </c:pt>
              </c:strCache>
            </c:strRef>
          </c:tx>
          <c:spPr>
            <a:ln w="38100">
              <a:noFill/>
            </a:ln>
          </c:spPr>
          <c:marker>
            <c:symbol val="none"/>
          </c:marker>
          <c:xVal>
            <c:strRef>
              <c:f>PROJET!$K$27</c:f>
              <c:strCache>
                <c:ptCount val="1"/>
                <c:pt idx="0">
                  <c:v>Note TEC-Tec</c:v>
                </c:pt>
              </c:strCache>
            </c:strRef>
          </c:xVal>
          <c:yVal>
            <c:numRef>
              <c:f>PROJET!$K$29</c:f>
              <c:numCache>
                <c:formatCode>00" points"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82C-4E38-AE54-B3D0956E06A0}"/>
            </c:ext>
          </c:extLst>
        </c:ser>
        <c:ser>
          <c:idx val="5"/>
          <c:order val="5"/>
          <c:tx>
            <c:strRef>
              <c:f>PROJET!$J$30</c:f>
              <c:strCache>
                <c:ptCount val="1"/>
                <c:pt idx="0">
                  <c:v>max</c:v>
                </c:pt>
              </c:strCache>
            </c:strRef>
          </c:tx>
          <c:spPr>
            <a:ln w="38100">
              <a:noFill/>
            </a:ln>
          </c:spPr>
          <c:marker>
            <c:symbol val="none"/>
          </c:marker>
          <c:xVal>
            <c:strRef>
              <c:f>PROJET!$K$27</c:f>
              <c:strCache>
                <c:ptCount val="1"/>
                <c:pt idx="0">
                  <c:v>Note TEC-Tec</c:v>
                </c:pt>
              </c:strCache>
            </c:strRef>
          </c:xVal>
          <c:yVal>
            <c:numRef>
              <c:f>PROJET!$K$30</c:f>
              <c:numCache>
                <c:formatCode>General</c:formatCode>
                <c:ptCount val="1"/>
                <c:pt idx="0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E82C-4E38-AE54-B3D0956E0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457012"/>
        <c:axId val="89594417"/>
      </c:scatterChart>
      <c:valAx>
        <c:axId val="264570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one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lang="fr-FR" sz="1000" b="0" u="none" strike="noStrike">
                <a:solidFill>
                  <a:srgbClr val="000000"/>
                </a:solidFill>
                <a:uFillTx/>
                <a:latin typeface="Arial"/>
              </a:defRPr>
            </a:pPr>
            <a:endParaRPr lang="fr-FR"/>
          </a:p>
        </c:txPr>
        <c:crossAx val="89594417"/>
        <c:crosses val="autoZero"/>
        <c:crossBetween val="midCat"/>
      </c:valAx>
      <c:valAx>
        <c:axId val="89594417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0">
            <a:solidFill>
              <a:srgbClr val="B3B3B3">
                <a:alpha val="0"/>
              </a:srgbClr>
            </a:solidFill>
          </a:ln>
        </c:spPr>
        <c:txPr>
          <a:bodyPr/>
          <a:lstStyle/>
          <a:p>
            <a:pPr>
              <a:defRPr lang="fr-FR" sz="1000" b="0" u="none" strike="noStrike">
                <a:solidFill>
                  <a:srgbClr val="000000"/>
                </a:solidFill>
                <a:uFillTx/>
                <a:latin typeface="Arial"/>
              </a:defRPr>
            </a:pPr>
            <a:endParaRPr lang="fr-FR"/>
          </a:p>
        </c:txPr>
        <c:crossAx val="26457012"/>
        <c:crosses val="autoZero"/>
        <c:crossBetween val="midCat"/>
      </c:valAx>
      <c:spPr>
        <a:noFill/>
        <a:ln w="0">
          <a:solidFill>
            <a:srgbClr val="B3B3B3">
              <a:alpha val="0"/>
            </a:srgbClr>
          </a:solidFill>
        </a:ln>
      </c:spPr>
    </c:plotArea>
    <c:plotVisOnly val="1"/>
    <c:dispBlanksAs val="span"/>
    <c:showDLblsOverMax val="1"/>
  </c:chart>
  <c:spPr>
    <a:noFill/>
    <a:ln w="0"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fr-FR" sz="1300" b="0" u="none" strike="noStrike">
                <a:uFillTx/>
                <a:latin typeface="Arial"/>
              </a:defRPr>
            </a:pPr>
            <a:r>
              <a:rPr lang="fr-FR" sz="1600" b="1" u="none" strike="noStrike">
                <a:solidFill>
                  <a:srgbClr val="FFFFFF"/>
                </a:solidFill>
                <a:uFillTx/>
                <a:latin typeface="Arial Narrow"/>
              </a:rPr>
              <a:t>Jauge énergie</a:t>
            </a:r>
          </a:p>
        </c:rich>
      </c:tx>
      <c:layout>
        <c:manualLayout>
          <c:xMode val="edge"/>
          <c:yMode val="edge"/>
          <c:x val="0.24019095905112595"/>
          <c:y val="0.1904212929312273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686980609418298"/>
          <c:y val="0.2515139352322886"/>
          <c:w val="0.29866532359607201"/>
          <c:h val="0.67690736072592017"/>
        </c:manualLayout>
      </c:layout>
      <c:scatterChart>
        <c:scatterStyle val="lineMarker"/>
        <c:varyColors val="0"/>
        <c:ser>
          <c:idx val="0"/>
          <c:order val="0"/>
          <c:tx>
            <c:strRef>
              <c:f>PROJET!$J$28</c:f>
              <c:strCache>
                <c:ptCount val="1"/>
                <c:pt idx="0">
                  <c:v>min</c:v>
                </c:pt>
              </c:strCache>
            </c:strRef>
          </c:tx>
          <c:spPr>
            <a:ln w="28800">
              <a:noFill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lang="fr-FR"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800">
                      <a:noFill/>
                    </a:ln>
                  </c:spPr>
                </c15:leaderLines>
              </c:ext>
            </c:extLst>
          </c:dLbls>
          <c:xVal>
            <c:strRef>
              <c:f>PROJET!$K$27</c:f>
              <c:strCache>
                <c:ptCount val="1"/>
                <c:pt idx="0">
                  <c:v>Note TEC-Tec</c:v>
                </c:pt>
              </c:strCache>
            </c:strRef>
          </c:xVal>
          <c:yVal>
            <c:numRef>
              <c:f>PROJET!$K$32</c:f>
              <c:numCache>
                <c:formatCode>#,##0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6B3-459A-9B07-5481611203FA}"/>
            </c:ext>
          </c:extLst>
        </c:ser>
        <c:ser>
          <c:idx val="1"/>
          <c:order val="1"/>
          <c:tx>
            <c:strRef>
              <c:f>PROJET!$J$33</c:f>
              <c:strCache>
                <c:ptCount val="1"/>
                <c:pt idx="0">
                  <c:v>oiseau</c:v>
                </c:pt>
              </c:strCache>
            </c:strRef>
          </c:tx>
          <c:spPr>
            <a:ln w="28800">
              <a:noFill/>
            </a:ln>
            <a:effectLst>
              <a:outerShdw blurRad="76200" dist="50800" dir="5400000" sx="117000" sy="117000" algn="ctr" rotWithShape="0">
                <a:schemeClr val="bg1"/>
              </a:outerShdw>
            </a:effectLst>
          </c:spPr>
          <c:marker>
            <c:symbol val="circle"/>
            <c:size val="33"/>
            <c:spPr>
              <a:blipFill dpi="0" rotWithShape="1">
                <a:blip xmlns:r="http://schemas.openxmlformats.org/officeDocument/2006/relationships" r:embed="rId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effectLst>
                <a:outerShdw blurRad="76200" dist="50800" dir="5400000" sx="117000" sy="117000" algn="ctr" rotWithShape="0">
                  <a:schemeClr val="bg1"/>
                </a:outerShdw>
              </a:effectLst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86B3-459A-9B07-5481611203FA}"/>
              </c:ext>
            </c:extLst>
          </c:dPt>
          <c:dLbls>
            <c:dLbl>
              <c:idx val="0"/>
              <c:spPr/>
              <c:txPr>
                <a:bodyPr wrap="none"/>
                <a:lstStyle/>
                <a:p>
                  <a:pPr>
                    <a:defRPr lang="fr-FR" sz="1000" b="0" u="none" strike="noStrik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B3-459A-9B07-5481611203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lang="fr-FR"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800">
                      <a:noFill/>
                    </a:ln>
                  </c:spPr>
                </c15:leaderLines>
              </c:ext>
            </c:extLst>
          </c:dLbls>
          <c:xVal>
            <c:strRef>
              <c:f>PROJET!$K$27</c:f>
              <c:strCache>
                <c:ptCount val="1"/>
                <c:pt idx="0">
                  <c:v>Note TEC-Tec</c:v>
                </c:pt>
              </c:strCache>
            </c:strRef>
          </c:xVal>
          <c:yVal>
            <c:numRef>
              <c:f>SYNTHESE!$P$30</c:f>
              <c:numCache>
                <c:formatCode>00" points  / 70"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6B3-459A-9B07-5481611203FA}"/>
            </c:ext>
          </c:extLst>
        </c:ser>
        <c:ser>
          <c:idx val="2"/>
          <c:order val="2"/>
          <c:tx>
            <c:strRef>
              <c:f>PROJET!$J$34</c:f>
              <c:strCache>
                <c:ptCount val="1"/>
                <c:pt idx="0">
                  <c:v>max</c:v>
                </c:pt>
              </c:strCache>
            </c:strRef>
          </c:tx>
          <c:spPr>
            <a:ln w="28800">
              <a:noFill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lang="fr-FR"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800">
                      <a:noFill/>
                    </a:ln>
                  </c:spPr>
                </c15:leaderLines>
              </c:ext>
            </c:extLst>
          </c:dLbls>
          <c:xVal>
            <c:strRef>
              <c:f>PROJET!$K$27</c:f>
              <c:strCache>
                <c:ptCount val="1"/>
                <c:pt idx="0">
                  <c:v>Note TEC-Tec</c:v>
                </c:pt>
              </c:strCache>
            </c:strRef>
          </c:xVal>
          <c:yVal>
            <c:numRef>
              <c:f>PROJET!$K$34</c:f>
              <c:numCache>
                <c:formatCode>General</c:formatCode>
                <c:ptCount val="1"/>
                <c:pt idx="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6B3-459A-9B07-5481611203FA}"/>
            </c:ext>
          </c:extLst>
        </c:ser>
        <c:ser>
          <c:idx val="3"/>
          <c:order val="3"/>
          <c:tx>
            <c:strRef>
              <c:f>PROJET!$J$28</c:f>
              <c:strCache>
                <c:ptCount val="1"/>
                <c:pt idx="0">
                  <c:v>min</c:v>
                </c:pt>
              </c:strCache>
            </c:strRef>
          </c:tx>
          <c:spPr>
            <a:ln w="38100">
              <a:noFill/>
            </a:ln>
          </c:spPr>
          <c:marker>
            <c:symbol val="none"/>
          </c:marker>
          <c:xVal>
            <c:strRef>
              <c:f>PROJET!$K$27</c:f>
              <c:strCache>
                <c:ptCount val="1"/>
                <c:pt idx="0">
                  <c:v>Note TEC-Tec</c:v>
                </c:pt>
              </c:strCache>
            </c:strRef>
          </c:xVal>
          <c:yVal>
            <c:numRef>
              <c:f>PROJET!$K$28</c:f>
              <c:numCache>
                <c:formatCode>#,##0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6B3-459A-9B07-5481611203FA}"/>
            </c:ext>
          </c:extLst>
        </c:ser>
        <c:ser>
          <c:idx val="4"/>
          <c:order val="4"/>
          <c:tx>
            <c:strRef>
              <c:f>PROJET!$J$29</c:f>
              <c:strCache>
                <c:ptCount val="1"/>
                <c:pt idx="0">
                  <c:v>oiseau</c:v>
                </c:pt>
              </c:strCache>
            </c:strRef>
          </c:tx>
          <c:spPr>
            <a:ln w="38100">
              <a:noFill/>
            </a:ln>
          </c:spPr>
          <c:marker>
            <c:symbol val="none"/>
          </c:marker>
          <c:xVal>
            <c:strRef>
              <c:f>PROJET!$K$27</c:f>
              <c:strCache>
                <c:ptCount val="1"/>
                <c:pt idx="0">
                  <c:v>Note TEC-Tec</c:v>
                </c:pt>
              </c:strCache>
            </c:strRef>
          </c:xVal>
          <c:yVal>
            <c:numRef>
              <c:f>SYNTHESE!$P$30</c:f>
              <c:numCache>
                <c:formatCode>00" points  / 70"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6B3-459A-9B07-5481611203FA}"/>
            </c:ext>
          </c:extLst>
        </c:ser>
        <c:ser>
          <c:idx val="5"/>
          <c:order val="5"/>
          <c:tx>
            <c:strRef>
              <c:f>PROJET!$J$34</c:f>
              <c:strCache>
                <c:ptCount val="1"/>
                <c:pt idx="0">
                  <c:v>max</c:v>
                </c:pt>
              </c:strCache>
            </c:strRef>
          </c:tx>
          <c:spPr>
            <a:ln w="38100">
              <a:noFill/>
            </a:ln>
          </c:spPr>
          <c:marker>
            <c:symbol val="none"/>
          </c:marker>
          <c:xVal>
            <c:strRef>
              <c:f>PROJET!$K$27</c:f>
              <c:strCache>
                <c:ptCount val="1"/>
                <c:pt idx="0">
                  <c:v>Note TEC-Tec</c:v>
                </c:pt>
              </c:strCache>
            </c:strRef>
          </c:xVal>
          <c:yVal>
            <c:numRef>
              <c:f>PROJET!$K$34</c:f>
              <c:numCache>
                <c:formatCode>General</c:formatCode>
                <c:ptCount val="1"/>
                <c:pt idx="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6B3-459A-9B07-548161120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457012"/>
        <c:axId val="89594417"/>
      </c:scatterChart>
      <c:valAx>
        <c:axId val="264570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one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lang="fr-FR" sz="1000" b="0" u="none" strike="noStrike">
                <a:solidFill>
                  <a:srgbClr val="000000"/>
                </a:solidFill>
                <a:uFillTx/>
                <a:latin typeface="Arial"/>
              </a:defRPr>
            </a:pPr>
            <a:endParaRPr lang="fr-FR"/>
          </a:p>
        </c:txPr>
        <c:crossAx val="89594417"/>
        <c:crosses val="autoZero"/>
        <c:crossBetween val="midCat"/>
      </c:valAx>
      <c:valAx>
        <c:axId val="89594417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0">
            <a:solidFill>
              <a:srgbClr val="B3B3B3">
                <a:alpha val="0"/>
              </a:srgbClr>
            </a:solidFill>
          </a:ln>
        </c:spPr>
        <c:txPr>
          <a:bodyPr/>
          <a:lstStyle/>
          <a:p>
            <a:pPr>
              <a:defRPr lang="fr-FR" sz="1000" b="0" u="none" strike="noStrike">
                <a:solidFill>
                  <a:srgbClr val="000000"/>
                </a:solidFill>
                <a:uFillTx/>
                <a:latin typeface="Arial"/>
              </a:defRPr>
            </a:pPr>
            <a:endParaRPr lang="fr-FR"/>
          </a:p>
        </c:txPr>
        <c:crossAx val="26457012"/>
        <c:crosses val="autoZero"/>
        <c:crossBetween val="midCat"/>
      </c:valAx>
      <c:spPr>
        <a:noFill/>
        <a:ln w="0">
          <a:solidFill>
            <a:srgbClr val="B3B3B3">
              <a:alpha val="0"/>
            </a:srgbClr>
          </a:solidFill>
        </a:ln>
      </c:spPr>
    </c:plotArea>
    <c:plotVisOnly val="1"/>
    <c:dispBlanksAs val="span"/>
    <c:showDLblsOverMax val="1"/>
  </c:chart>
  <c:spPr>
    <a:noFill/>
    <a:ln w="0"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fr-FR" sz="1300" b="0" u="none" strike="noStrike">
                <a:uFillTx/>
                <a:latin typeface="Arial"/>
              </a:defRPr>
            </a:pPr>
            <a:r>
              <a:rPr lang="fr-FR" sz="1600" b="1" u="none" strike="noStrike">
                <a:solidFill>
                  <a:srgbClr val="FFFFFF"/>
                </a:solidFill>
                <a:uFillTx/>
                <a:latin typeface="Arial Narrow"/>
              </a:rPr>
              <a:t>Jauge construction</a:t>
            </a:r>
          </a:p>
        </c:rich>
      </c:tx>
      <c:layout>
        <c:manualLayout>
          <c:xMode val="edge"/>
          <c:yMode val="edge"/>
          <c:x val="0.16969154192032274"/>
          <c:y val="0.1835118190087788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686980609418298"/>
          <c:y val="0.47226635097080827"/>
          <c:w val="0.29866532359607201"/>
          <c:h val="0.45270029857632199"/>
        </c:manualLayout>
      </c:layout>
      <c:scatterChart>
        <c:scatterStyle val="lineMarker"/>
        <c:varyColors val="0"/>
        <c:ser>
          <c:idx val="0"/>
          <c:order val="0"/>
          <c:tx>
            <c:strRef>
              <c:f>PROJET!$J$28</c:f>
              <c:strCache>
                <c:ptCount val="1"/>
                <c:pt idx="0">
                  <c:v>min</c:v>
                </c:pt>
              </c:strCache>
            </c:strRef>
          </c:tx>
          <c:spPr>
            <a:ln w="28800">
              <a:noFill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lang="fr-FR"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800">
                      <a:noFill/>
                    </a:ln>
                  </c:spPr>
                </c15:leaderLines>
              </c:ext>
            </c:extLst>
          </c:dLbls>
          <c:xVal>
            <c:strRef>
              <c:f>PROJET!$K$27</c:f>
              <c:strCache>
                <c:ptCount val="1"/>
                <c:pt idx="0">
                  <c:v>Note TEC-Tec</c:v>
                </c:pt>
              </c:strCache>
            </c:strRef>
          </c:xVal>
          <c:yVal>
            <c:numRef>
              <c:f>PROJET!$K$28</c:f>
              <c:numCache>
                <c:formatCode>#,##0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311-4EB4-89E2-5FF1F38790E0}"/>
            </c:ext>
          </c:extLst>
        </c:ser>
        <c:ser>
          <c:idx val="1"/>
          <c:order val="1"/>
          <c:tx>
            <c:strRef>
              <c:f>PROJET!$J$29</c:f>
              <c:strCache>
                <c:ptCount val="1"/>
                <c:pt idx="0">
                  <c:v>oiseau</c:v>
                </c:pt>
              </c:strCache>
            </c:strRef>
          </c:tx>
          <c:spPr>
            <a:ln w="28800">
              <a:noFill/>
            </a:ln>
            <a:effectLst>
              <a:outerShdw blurRad="76200" dist="50800" dir="5400000" sx="130000" sy="130000" algn="ctr" rotWithShape="0">
                <a:schemeClr val="bg1"/>
              </a:outerShdw>
            </a:effectLst>
          </c:spPr>
          <c:marker>
            <c:symbol val="circle"/>
            <c:size val="33"/>
            <c:spPr>
              <a:blipFill dpi="0" rotWithShape="1">
                <a:blip xmlns:r="http://schemas.openxmlformats.org/officeDocument/2006/relationships" r:embed="rId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effectLst>
                <a:outerShdw blurRad="76200" dist="50800" dir="5400000" sx="130000" sy="130000" algn="ctr" rotWithShape="0">
                  <a:schemeClr val="bg1"/>
                </a:outerShdw>
              </a:effectLst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E311-4EB4-89E2-5FF1F38790E0}"/>
              </c:ext>
            </c:extLst>
          </c:dPt>
          <c:dLbls>
            <c:dLbl>
              <c:idx val="0"/>
              <c:spPr/>
              <c:txPr>
                <a:bodyPr wrap="none"/>
                <a:lstStyle/>
                <a:p>
                  <a:pPr>
                    <a:defRPr lang="fr-FR" sz="1000" b="0" u="none" strike="noStrik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11-4EB4-89E2-5FF1F38790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lang="fr-FR"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800">
                      <a:noFill/>
                    </a:ln>
                  </c:spPr>
                </c15:leaderLines>
              </c:ext>
            </c:extLst>
          </c:dLbls>
          <c:xVal>
            <c:strRef>
              <c:f>PROJET!$K$27</c:f>
              <c:strCache>
                <c:ptCount val="1"/>
                <c:pt idx="0">
                  <c:v>Note TEC-Tec</c:v>
                </c:pt>
              </c:strCache>
            </c:strRef>
          </c:xVal>
          <c:yVal>
            <c:numRef>
              <c:f>SYNTHESE!$N$30</c:f>
              <c:numCache>
                <c:formatCode>00" points  / 30"</c:formatCode>
                <c:ptCount val="1"/>
                <c:pt idx="0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311-4EB4-89E2-5FF1F38790E0}"/>
            </c:ext>
          </c:extLst>
        </c:ser>
        <c:ser>
          <c:idx val="2"/>
          <c:order val="2"/>
          <c:tx>
            <c:strRef>
              <c:f>PROJET!$J$30</c:f>
              <c:strCache>
                <c:ptCount val="1"/>
                <c:pt idx="0">
                  <c:v>max</c:v>
                </c:pt>
              </c:strCache>
            </c:strRef>
          </c:tx>
          <c:spPr>
            <a:ln w="28800">
              <a:noFill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lang="fr-FR"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800">
                      <a:noFill/>
                    </a:ln>
                  </c:spPr>
                </c15:leaderLines>
              </c:ext>
            </c:extLst>
          </c:dLbls>
          <c:xVal>
            <c:strRef>
              <c:f>PROJET!$K$27</c:f>
              <c:strCache>
                <c:ptCount val="1"/>
                <c:pt idx="0">
                  <c:v>Note TEC-Tec</c:v>
                </c:pt>
              </c:strCache>
            </c:strRef>
          </c:xVal>
          <c:yVal>
            <c:numRef>
              <c:f>PROJET!$K$30</c:f>
              <c:numCache>
                <c:formatCode>General</c:formatCode>
                <c:ptCount val="1"/>
                <c:pt idx="0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311-4EB4-89E2-5FF1F38790E0}"/>
            </c:ext>
          </c:extLst>
        </c:ser>
        <c:ser>
          <c:idx val="3"/>
          <c:order val="3"/>
          <c:tx>
            <c:strRef>
              <c:f>PROJET!$J$28</c:f>
              <c:strCache>
                <c:ptCount val="1"/>
                <c:pt idx="0">
                  <c:v>min</c:v>
                </c:pt>
              </c:strCache>
            </c:strRef>
          </c:tx>
          <c:spPr>
            <a:ln w="38100">
              <a:noFill/>
            </a:ln>
          </c:spPr>
          <c:marker>
            <c:symbol val="none"/>
          </c:marker>
          <c:xVal>
            <c:strRef>
              <c:f>PROJET!$K$27</c:f>
              <c:strCache>
                <c:ptCount val="1"/>
                <c:pt idx="0">
                  <c:v>Note TEC-Tec</c:v>
                </c:pt>
              </c:strCache>
            </c:strRef>
          </c:xVal>
          <c:yVal>
            <c:numRef>
              <c:f>PROJET!$K$28</c:f>
              <c:numCache>
                <c:formatCode>#,##0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311-4EB4-89E2-5FF1F38790E0}"/>
            </c:ext>
          </c:extLst>
        </c:ser>
        <c:ser>
          <c:idx val="4"/>
          <c:order val="4"/>
          <c:tx>
            <c:strRef>
              <c:f>PROJET!$J$29</c:f>
              <c:strCache>
                <c:ptCount val="1"/>
                <c:pt idx="0">
                  <c:v>oiseau</c:v>
                </c:pt>
              </c:strCache>
            </c:strRef>
          </c:tx>
          <c:spPr>
            <a:ln w="38100">
              <a:noFill/>
            </a:ln>
          </c:spPr>
          <c:marker>
            <c:symbol val="none"/>
          </c:marker>
          <c:xVal>
            <c:strRef>
              <c:f>PROJET!$K$27</c:f>
              <c:strCache>
                <c:ptCount val="1"/>
                <c:pt idx="0">
                  <c:v>Note TEC-Tec</c:v>
                </c:pt>
              </c:strCache>
            </c:strRef>
          </c:xVal>
          <c:yVal>
            <c:numRef>
              <c:f>SYNTHESE!$N$30</c:f>
              <c:numCache>
                <c:formatCode>00" points  / 30"</c:formatCode>
                <c:ptCount val="1"/>
                <c:pt idx="0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311-4EB4-89E2-5FF1F38790E0}"/>
            </c:ext>
          </c:extLst>
        </c:ser>
        <c:ser>
          <c:idx val="5"/>
          <c:order val="5"/>
          <c:tx>
            <c:strRef>
              <c:f>PROJET!$J$30</c:f>
              <c:strCache>
                <c:ptCount val="1"/>
                <c:pt idx="0">
                  <c:v>max</c:v>
                </c:pt>
              </c:strCache>
            </c:strRef>
          </c:tx>
          <c:spPr>
            <a:ln w="38100">
              <a:noFill/>
            </a:ln>
          </c:spPr>
          <c:marker>
            <c:symbol val="none"/>
          </c:marker>
          <c:xVal>
            <c:strRef>
              <c:f>PROJET!$K$27</c:f>
              <c:strCache>
                <c:ptCount val="1"/>
                <c:pt idx="0">
                  <c:v>Note TEC-Tec</c:v>
                </c:pt>
              </c:strCache>
            </c:strRef>
          </c:xVal>
          <c:yVal>
            <c:numRef>
              <c:f>PROJET!$K$30</c:f>
              <c:numCache>
                <c:formatCode>General</c:formatCode>
                <c:ptCount val="1"/>
                <c:pt idx="0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311-4EB4-89E2-5FF1F3879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457012"/>
        <c:axId val="89594417"/>
      </c:scatterChart>
      <c:valAx>
        <c:axId val="264570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one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lang="fr-FR" sz="1000" b="0" u="none" strike="noStrike">
                <a:solidFill>
                  <a:srgbClr val="000000"/>
                </a:solidFill>
                <a:uFillTx/>
                <a:latin typeface="Arial"/>
              </a:defRPr>
            </a:pPr>
            <a:endParaRPr lang="fr-FR"/>
          </a:p>
        </c:txPr>
        <c:crossAx val="89594417"/>
        <c:crosses val="autoZero"/>
        <c:crossBetween val="midCat"/>
      </c:valAx>
      <c:valAx>
        <c:axId val="89594417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0">
            <a:solidFill>
              <a:srgbClr val="B3B3B3">
                <a:alpha val="0"/>
              </a:srgbClr>
            </a:solidFill>
          </a:ln>
        </c:spPr>
        <c:txPr>
          <a:bodyPr/>
          <a:lstStyle/>
          <a:p>
            <a:pPr>
              <a:defRPr lang="fr-FR" sz="1000" b="0" u="none" strike="noStrike">
                <a:solidFill>
                  <a:srgbClr val="000000"/>
                </a:solidFill>
                <a:uFillTx/>
                <a:latin typeface="Arial"/>
              </a:defRPr>
            </a:pPr>
            <a:endParaRPr lang="fr-FR"/>
          </a:p>
        </c:txPr>
        <c:crossAx val="26457012"/>
        <c:crosses val="autoZero"/>
        <c:crossBetween val="midCat"/>
      </c:valAx>
      <c:spPr>
        <a:noFill/>
        <a:ln w="0">
          <a:solidFill>
            <a:srgbClr val="B3B3B3">
              <a:alpha val="0"/>
            </a:srgbClr>
          </a:solidFill>
        </a:ln>
      </c:spPr>
    </c:plotArea>
    <c:plotVisOnly val="1"/>
    <c:dispBlanksAs val="span"/>
    <c:showDLblsOverMax val="1"/>
  </c:chart>
  <c:spPr>
    <a:noFill/>
    <a:ln w="0"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fr-FR" sz="1300" b="0" u="none" strike="noStrike">
                <a:uFillTx/>
                <a:latin typeface="Arial"/>
              </a:defRPr>
            </a:pPr>
            <a:r>
              <a:rPr lang="fr-FR" sz="1600" b="1" u="none" strike="noStrike">
                <a:solidFill>
                  <a:srgbClr val="FFFFFF"/>
                </a:solidFill>
                <a:uFillTx/>
                <a:latin typeface="Arial Narrow"/>
              </a:rPr>
              <a:t>Jauge énergie</a:t>
            </a:r>
          </a:p>
        </c:rich>
      </c:tx>
      <c:layout>
        <c:manualLayout>
          <c:xMode val="edge"/>
          <c:yMode val="edge"/>
          <c:x val="0.24019095905112595"/>
          <c:y val="0.1904212929312273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686980609418298"/>
          <c:y val="0.2515139352322886"/>
          <c:w val="0.29866532359607201"/>
          <c:h val="0.67690736072592017"/>
        </c:manualLayout>
      </c:layout>
      <c:scatterChart>
        <c:scatterStyle val="lineMarker"/>
        <c:varyColors val="0"/>
        <c:ser>
          <c:idx val="0"/>
          <c:order val="0"/>
          <c:tx>
            <c:strRef>
              <c:f>PROJET!$J$28</c:f>
              <c:strCache>
                <c:ptCount val="1"/>
                <c:pt idx="0">
                  <c:v>min</c:v>
                </c:pt>
              </c:strCache>
            </c:strRef>
          </c:tx>
          <c:spPr>
            <a:ln w="28800">
              <a:noFill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lang="fr-FR"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800">
                      <a:noFill/>
                    </a:ln>
                  </c:spPr>
                </c15:leaderLines>
              </c:ext>
            </c:extLst>
          </c:dLbls>
          <c:xVal>
            <c:strRef>
              <c:f>PROJET!$K$27</c:f>
              <c:strCache>
                <c:ptCount val="1"/>
                <c:pt idx="0">
                  <c:v>Note TEC-Tec</c:v>
                </c:pt>
              </c:strCache>
            </c:strRef>
          </c:xVal>
          <c:yVal>
            <c:numRef>
              <c:f>PROJET!$K$32</c:f>
              <c:numCache>
                <c:formatCode>#,##0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FD8-4414-BEEF-BB6314446AA5}"/>
            </c:ext>
          </c:extLst>
        </c:ser>
        <c:ser>
          <c:idx val="1"/>
          <c:order val="1"/>
          <c:tx>
            <c:strRef>
              <c:f>PROJET!$J$33</c:f>
              <c:strCache>
                <c:ptCount val="1"/>
                <c:pt idx="0">
                  <c:v>oiseau</c:v>
                </c:pt>
              </c:strCache>
            </c:strRef>
          </c:tx>
          <c:spPr>
            <a:ln w="28800">
              <a:noFill/>
            </a:ln>
            <a:effectLst>
              <a:outerShdw blurRad="76200" dist="50800" dir="5400000" sx="117000" sy="117000" algn="ctr" rotWithShape="0">
                <a:schemeClr val="bg1"/>
              </a:outerShdw>
            </a:effectLst>
          </c:spPr>
          <c:marker>
            <c:symbol val="circle"/>
            <c:size val="33"/>
            <c:spPr>
              <a:blipFill dpi="0" rotWithShape="1">
                <a:blip xmlns:r="http://schemas.openxmlformats.org/officeDocument/2006/relationships" r:embed="rId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effectLst>
                <a:outerShdw blurRad="76200" dist="50800" dir="5400000" sx="117000" sy="117000" algn="ctr" rotWithShape="0">
                  <a:schemeClr val="bg1"/>
                </a:outerShdw>
              </a:effectLst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5FD8-4414-BEEF-BB6314446AA5}"/>
              </c:ext>
            </c:extLst>
          </c:dPt>
          <c:dLbls>
            <c:dLbl>
              <c:idx val="0"/>
              <c:spPr/>
              <c:txPr>
                <a:bodyPr wrap="none"/>
                <a:lstStyle/>
                <a:p>
                  <a:pPr>
                    <a:defRPr lang="fr-FR" sz="1000" b="0" u="none" strike="noStrik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D8-4414-BEEF-BB6314446A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lang="fr-FR"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800">
                      <a:noFill/>
                    </a:ln>
                  </c:spPr>
                </c15:leaderLines>
              </c:ext>
            </c:extLst>
          </c:dLbls>
          <c:xVal>
            <c:strRef>
              <c:f>PROJET!$K$27</c:f>
              <c:strCache>
                <c:ptCount val="1"/>
                <c:pt idx="0">
                  <c:v>Note TEC-Tec</c:v>
                </c:pt>
              </c:strCache>
            </c:strRef>
          </c:xVal>
          <c:yVal>
            <c:numRef>
              <c:f>SYNTHESE!$R$30</c:f>
              <c:numCache>
                <c:formatCode>00" points  / 70"</c:formatCode>
                <c:ptCount val="1"/>
                <c:pt idx="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FD8-4414-BEEF-BB6314446AA5}"/>
            </c:ext>
          </c:extLst>
        </c:ser>
        <c:ser>
          <c:idx val="2"/>
          <c:order val="2"/>
          <c:tx>
            <c:strRef>
              <c:f>PROJET!$J$34</c:f>
              <c:strCache>
                <c:ptCount val="1"/>
                <c:pt idx="0">
                  <c:v>max</c:v>
                </c:pt>
              </c:strCache>
            </c:strRef>
          </c:tx>
          <c:spPr>
            <a:ln w="28800">
              <a:noFill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lang="fr-FR"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800">
                      <a:noFill/>
                    </a:ln>
                  </c:spPr>
                </c15:leaderLines>
              </c:ext>
            </c:extLst>
          </c:dLbls>
          <c:xVal>
            <c:strRef>
              <c:f>PROJET!$K$27</c:f>
              <c:strCache>
                <c:ptCount val="1"/>
                <c:pt idx="0">
                  <c:v>Note TEC-Tec</c:v>
                </c:pt>
              </c:strCache>
            </c:strRef>
          </c:xVal>
          <c:yVal>
            <c:numRef>
              <c:f>PROJET!$K$34</c:f>
              <c:numCache>
                <c:formatCode>General</c:formatCode>
                <c:ptCount val="1"/>
                <c:pt idx="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FD8-4414-BEEF-BB6314446AA5}"/>
            </c:ext>
          </c:extLst>
        </c:ser>
        <c:ser>
          <c:idx val="3"/>
          <c:order val="3"/>
          <c:tx>
            <c:strRef>
              <c:f>PROJET!$J$28</c:f>
              <c:strCache>
                <c:ptCount val="1"/>
                <c:pt idx="0">
                  <c:v>min</c:v>
                </c:pt>
              </c:strCache>
            </c:strRef>
          </c:tx>
          <c:spPr>
            <a:ln w="38100">
              <a:noFill/>
            </a:ln>
          </c:spPr>
          <c:marker>
            <c:symbol val="none"/>
          </c:marker>
          <c:xVal>
            <c:strRef>
              <c:f>PROJET!$K$27</c:f>
              <c:strCache>
                <c:ptCount val="1"/>
                <c:pt idx="0">
                  <c:v>Note TEC-Tec</c:v>
                </c:pt>
              </c:strCache>
            </c:strRef>
          </c:xVal>
          <c:yVal>
            <c:numRef>
              <c:f>PROJET!$K$28</c:f>
              <c:numCache>
                <c:formatCode>#,##0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FD8-4414-BEEF-BB6314446AA5}"/>
            </c:ext>
          </c:extLst>
        </c:ser>
        <c:ser>
          <c:idx val="4"/>
          <c:order val="4"/>
          <c:tx>
            <c:strRef>
              <c:f>PROJET!$J$29</c:f>
              <c:strCache>
                <c:ptCount val="1"/>
                <c:pt idx="0">
                  <c:v>oiseau</c:v>
                </c:pt>
              </c:strCache>
            </c:strRef>
          </c:tx>
          <c:spPr>
            <a:ln w="38100">
              <a:noFill/>
            </a:ln>
          </c:spPr>
          <c:marker>
            <c:symbol val="none"/>
          </c:marker>
          <c:xVal>
            <c:strRef>
              <c:f>PROJET!$K$27</c:f>
              <c:strCache>
                <c:ptCount val="1"/>
                <c:pt idx="0">
                  <c:v>Note TEC-Tec</c:v>
                </c:pt>
              </c:strCache>
            </c:strRef>
          </c:xVal>
          <c:yVal>
            <c:numRef>
              <c:f>SYNTHESE!$R$30</c:f>
              <c:numCache>
                <c:formatCode>00" points  / 70"</c:formatCode>
                <c:ptCount val="1"/>
                <c:pt idx="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FD8-4414-BEEF-BB6314446AA5}"/>
            </c:ext>
          </c:extLst>
        </c:ser>
        <c:ser>
          <c:idx val="5"/>
          <c:order val="5"/>
          <c:tx>
            <c:strRef>
              <c:f>PROJET!$J$34</c:f>
              <c:strCache>
                <c:ptCount val="1"/>
                <c:pt idx="0">
                  <c:v>max</c:v>
                </c:pt>
              </c:strCache>
            </c:strRef>
          </c:tx>
          <c:spPr>
            <a:ln w="38100">
              <a:noFill/>
            </a:ln>
          </c:spPr>
          <c:marker>
            <c:symbol val="none"/>
          </c:marker>
          <c:xVal>
            <c:strRef>
              <c:f>PROJET!$K$27</c:f>
              <c:strCache>
                <c:ptCount val="1"/>
                <c:pt idx="0">
                  <c:v>Note TEC-Tec</c:v>
                </c:pt>
              </c:strCache>
            </c:strRef>
          </c:xVal>
          <c:yVal>
            <c:numRef>
              <c:f>PROJET!$K$34</c:f>
              <c:numCache>
                <c:formatCode>General</c:formatCode>
                <c:ptCount val="1"/>
                <c:pt idx="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FD8-4414-BEEF-BB6314446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457012"/>
        <c:axId val="89594417"/>
      </c:scatterChart>
      <c:valAx>
        <c:axId val="264570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one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lang="fr-FR" sz="1000" b="0" u="none" strike="noStrike">
                <a:solidFill>
                  <a:srgbClr val="000000"/>
                </a:solidFill>
                <a:uFillTx/>
                <a:latin typeface="Arial"/>
              </a:defRPr>
            </a:pPr>
            <a:endParaRPr lang="fr-FR"/>
          </a:p>
        </c:txPr>
        <c:crossAx val="89594417"/>
        <c:crosses val="autoZero"/>
        <c:crossBetween val="midCat"/>
      </c:valAx>
      <c:valAx>
        <c:axId val="89594417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0">
            <a:solidFill>
              <a:srgbClr val="B3B3B3">
                <a:alpha val="0"/>
              </a:srgbClr>
            </a:solidFill>
          </a:ln>
        </c:spPr>
        <c:txPr>
          <a:bodyPr/>
          <a:lstStyle/>
          <a:p>
            <a:pPr>
              <a:defRPr lang="fr-FR" sz="1000" b="0" u="none" strike="noStrike">
                <a:solidFill>
                  <a:srgbClr val="000000"/>
                </a:solidFill>
                <a:uFillTx/>
                <a:latin typeface="Arial"/>
              </a:defRPr>
            </a:pPr>
            <a:endParaRPr lang="fr-FR"/>
          </a:p>
        </c:txPr>
        <c:crossAx val="26457012"/>
        <c:crosses val="autoZero"/>
        <c:crossBetween val="midCat"/>
      </c:valAx>
      <c:spPr>
        <a:noFill/>
        <a:ln w="0">
          <a:solidFill>
            <a:srgbClr val="B3B3B3">
              <a:alpha val="0"/>
            </a:srgbClr>
          </a:solidFill>
        </a:ln>
      </c:spPr>
    </c:plotArea>
    <c:plotVisOnly val="1"/>
    <c:dispBlanksAs val="span"/>
    <c:showDLblsOverMax val="1"/>
  </c:chart>
  <c:spPr>
    <a:noFill/>
    <a:ln w="0"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lang="fr-FR" sz="1300" b="0" u="none" strike="noStrike">
                <a:uFillTx/>
                <a:latin typeface="Arial"/>
              </a:defRPr>
            </a:pPr>
            <a:r>
              <a:rPr lang="fr-FR" sz="1300" b="0" u="none" strike="noStrike">
                <a:solidFill>
                  <a:srgbClr val="000000"/>
                </a:solidFill>
                <a:uFillTx/>
                <a:latin typeface="Arial"/>
              </a:rPr>
              <a:t>Projet TEC-Tec / Emissions de construction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'SYNTHESE (i)'!$C$7</c:f>
              <c:strCache>
                <c:ptCount val="1"/>
                <c:pt idx="0">
                  <c:v>EMPREINTE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978-4057-BC34-17EE43F6B1CF}"/>
              </c:ext>
            </c:extLst>
          </c:dPt>
          <c:dLbls>
            <c:dLbl>
              <c:idx val="3"/>
              <c:spPr/>
              <c:txPr>
                <a:bodyPr wrap="none"/>
                <a:lstStyle/>
                <a:p>
                  <a:pPr>
                    <a:defRPr lang="fr-FR" sz="1000" b="0" u="none" strike="noStrik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C978-4057-BC34-17EE43F6B1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lang="fr-FR"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'SYNTHESE (i)'!$B$8:$B$14</c:f>
              <c:strCache>
                <c:ptCount val="7"/>
                <c:pt idx="0">
                  <c:v>Conception</c:v>
                </c:pt>
                <c:pt idx="1">
                  <c:v>Démolitions</c:v>
                </c:pt>
                <c:pt idx="2">
                  <c:v>Aménagements extérieurs</c:v>
                </c:pt>
                <c:pt idx="3">
                  <c:v>Structure</c:v>
                </c:pt>
                <c:pt idx="4">
                  <c:v>Clos couvert</c:v>
                </c:pt>
                <c:pt idx="5">
                  <c:v>Aménagements intérieurs</c:v>
                </c:pt>
                <c:pt idx="6">
                  <c:v>Équipements techniques</c:v>
                </c:pt>
              </c:strCache>
            </c:strRef>
          </c:cat>
          <c:val>
            <c:numRef>
              <c:f>'SYNTHESE (i)'!$C$8:$C$14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78-4057-BC34-17EE43F6B1CF}"/>
            </c:ext>
          </c:extLst>
        </c:ser>
        <c:ser>
          <c:idx val="1"/>
          <c:order val="1"/>
          <c:tx>
            <c:strRef>
              <c:f>'SYNTHESE (i)'!$D$7</c:f>
              <c:strCache>
                <c:ptCount val="1"/>
                <c:pt idx="0">
                  <c:v>EMPREINTE (2)</c:v>
                </c:pt>
              </c:strCache>
            </c:strRef>
          </c:tx>
          <c:spPr>
            <a:solidFill>
              <a:srgbClr val="FF420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lang="fr-FR"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'SYNTHESE (i)'!$B$8:$B$14</c:f>
              <c:strCache>
                <c:ptCount val="7"/>
                <c:pt idx="0">
                  <c:v>Conception</c:v>
                </c:pt>
                <c:pt idx="1">
                  <c:v>Démolitions</c:v>
                </c:pt>
                <c:pt idx="2">
                  <c:v>Aménagements extérieurs</c:v>
                </c:pt>
                <c:pt idx="3">
                  <c:v>Structure</c:v>
                </c:pt>
                <c:pt idx="4">
                  <c:v>Clos couvert</c:v>
                </c:pt>
                <c:pt idx="5">
                  <c:v>Aménagements intérieurs</c:v>
                </c:pt>
                <c:pt idx="6">
                  <c:v>Équipements techniques</c:v>
                </c:pt>
              </c:strCache>
            </c:strRef>
          </c:cat>
          <c:val>
            <c:numRef>
              <c:f>'SYNTHESE (i)'!$D$8:$D$14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78-4057-BC34-17EE43F6B1CF}"/>
            </c:ext>
          </c:extLst>
        </c:ser>
        <c:ser>
          <c:idx val="2"/>
          <c:order val="2"/>
          <c:tx>
            <c:strRef>
              <c:f>'SYNTHESE (i)'!$E$7</c:f>
              <c:strCache>
                <c:ptCount val="1"/>
                <c:pt idx="0">
                  <c:v>EMPREINTE (3)</c:v>
                </c:pt>
              </c:strCache>
            </c:strRef>
          </c:tx>
          <c:spPr>
            <a:solidFill>
              <a:srgbClr val="FFD32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lang="fr-FR"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'SYNTHESE (i)'!$B$8:$B$14</c:f>
              <c:strCache>
                <c:ptCount val="7"/>
                <c:pt idx="0">
                  <c:v>Conception</c:v>
                </c:pt>
                <c:pt idx="1">
                  <c:v>Démolitions</c:v>
                </c:pt>
                <c:pt idx="2">
                  <c:v>Aménagements extérieurs</c:v>
                </c:pt>
                <c:pt idx="3">
                  <c:v>Structure</c:v>
                </c:pt>
                <c:pt idx="4">
                  <c:v>Clos couvert</c:v>
                </c:pt>
                <c:pt idx="5">
                  <c:v>Aménagements intérieurs</c:v>
                </c:pt>
                <c:pt idx="6">
                  <c:v>Équipements techniques</c:v>
                </c:pt>
              </c:strCache>
            </c:strRef>
          </c:cat>
          <c:val>
            <c:numRef>
              <c:f>'SYNTHESE (i)'!$E$8:$E$14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78-4057-BC34-17EE43F6B1CF}"/>
            </c:ext>
          </c:extLst>
        </c:ser>
        <c:ser>
          <c:idx val="3"/>
          <c:order val="3"/>
          <c:tx>
            <c:strRef>
              <c:f>'SYNTHESE (i)'!$F$7</c:f>
              <c:strCache>
                <c:ptCount val="1"/>
                <c:pt idx="0">
                  <c:v>EMPREINTE (4)</c:v>
                </c:pt>
              </c:strCache>
            </c:strRef>
          </c:tx>
          <c:spPr>
            <a:solidFill>
              <a:srgbClr val="579D1C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lang="fr-FR"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'SYNTHESE (i)'!$B$8:$B$14</c:f>
              <c:strCache>
                <c:ptCount val="7"/>
                <c:pt idx="0">
                  <c:v>Conception</c:v>
                </c:pt>
                <c:pt idx="1">
                  <c:v>Démolitions</c:v>
                </c:pt>
                <c:pt idx="2">
                  <c:v>Aménagements extérieurs</c:v>
                </c:pt>
                <c:pt idx="3">
                  <c:v>Structure</c:v>
                </c:pt>
                <c:pt idx="4">
                  <c:v>Clos couvert</c:v>
                </c:pt>
                <c:pt idx="5">
                  <c:v>Aménagements intérieurs</c:v>
                </c:pt>
                <c:pt idx="6">
                  <c:v>Équipements techniques</c:v>
                </c:pt>
              </c:strCache>
            </c:strRef>
          </c:cat>
          <c:val>
            <c:numRef>
              <c:f>'SYNTHESE (i)'!$F$8:$F$14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978-4057-BC34-17EE43F6B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507865"/>
        <c:axId val="84381104"/>
      </c:barChart>
      <c:catAx>
        <c:axId val="25507865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lang="fr-FR" sz="1000" b="0" u="none" strike="noStrike">
                <a:solidFill>
                  <a:srgbClr val="000000"/>
                </a:solidFill>
                <a:uFillTx/>
                <a:latin typeface="Arial"/>
              </a:defRPr>
            </a:pPr>
            <a:endParaRPr lang="fr-FR"/>
          </a:p>
        </c:txPr>
        <c:crossAx val="84381104"/>
        <c:crossesAt val="0"/>
        <c:auto val="1"/>
        <c:lblAlgn val="ctr"/>
        <c:lblOffset val="100"/>
        <c:noMultiLvlLbl val="0"/>
      </c:catAx>
      <c:valAx>
        <c:axId val="84381104"/>
        <c:scaling>
          <c:orientation val="minMax"/>
        </c:scaling>
        <c:delete val="0"/>
        <c:axPos val="t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lang="fr-FR" sz="1300" b="0" u="none" strike="noStrike">
                    <a:uFillTx/>
                    <a:latin typeface="Arial"/>
                  </a:defRPr>
                </a:pPr>
                <a:r>
                  <a:rPr lang="fr-FR" sz="900" b="0" u="none" strike="noStrike">
                    <a:solidFill>
                      <a:srgbClr val="000000"/>
                    </a:solidFill>
                    <a:uFillTx/>
                    <a:latin typeface="Arial"/>
                  </a:rPr>
                  <a:t>tCO2e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lang="fr-FR" sz="1000" b="0" u="none" strike="noStrike">
                <a:solidFill>
                  <a:srgbClr val="000000"/>
                </a:solidFill>
                <a:uFillTx/>
                <a:latin typeface="Arial"/>
              </a:defRPr>
            </a:pPr>
            <a:endParaRPr lang="fr-FR"/>
          </a:p>
        </c:txPr>
        <c:crossAx val="25507865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b"/>
      <c:layout>
        <c:manualLayout>
          <c:xMode val="edge"/>
          <c:yMode val="edge"/>
          <c:x val="0.20787008119924999"/>
          <c:y val="0.91085108174088703"/>
          <c:w val="0.638788257339163"/>
          <c:h val="8.5697449280242505E-2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lang="fr-FR" sz="1000" b="0" u="none" strike="noStrike">
              <a:solidFill>
                <a:srgbClr val="000000"/>
              </a:solidFill>
              <a:uFillTx/>
              <a:latin typeface="Arial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lang="fr-FR" sz="1300" b="0" u="none" strike="noStrike">
                <a:uFillTx/>
                <a:latin typeface="Arial"/>
              </a:defRPr>
            </a:pPr>
            <a:r>
              <a:rPr lang="fr-FR" sz="1300" b="0" u="none" strike="noStrike">
                <a:solidFill>
                  <a:srgbClr val="000000"/>
                </a:solidFill>
                <a:uFillTx/>
                <a:latin typeface="Arial"/>
              </a:rPr>
              <a:t>Projet TEC-Tec / Emissions de l'énergie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'SYNTHESE (i)'!$C$25</c:f>
              <c:strCache>
                <c:ptCount val="1"/>
                <c:pt idx="0">
                  <c:v>EMPREINTE</c:v>
                </c:pt>
              </c:strCache>
            </c:strRef>
          </c:tx>
          <c:spPr>
            <a:solidFill>
              <a:srgbClr val="FF420E"/>
            </a:solidFill>
            <a:ln w="0">
              <a:noFill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7E3-4052-8161-BB75F4A1B173}"/>
              </c:ext>
            </c:extLst>
          </c:dPt>
          <c:dLbls>
            <c:dLbl>
              <c:idx val="3"/>
              <c:spPr/>
              <c:txPr>
                <a:bodyPr wrap="none"/>
                <a:lstStyle/>
                <a:p>
                  <a:pPr>
                    <a:defRPr lang="fr-FR" sz="1000" b="0" u="none" strike="noStrik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C7E3-4052-8161-BB75F4A1B1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lang="fr-FR"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'SYNTHESE (i)'!$B$26:$B$40</c:f>
              <c:strCache>
                <c:ptCount val="15"/>
                <c:pt idx="0">
                  <c:v>Consommations initiales</c:v>
                </c:pt>
                <c:pt idx="1">
                  <c:v>Chauffage</c:v>
                </c:pt>
                <c:pt idx="2">
                  <c:v>Rafraîchissement</c:v>
                </c:pt>
                <c:pt idx="3">
                  <c:v>Éclairage intérieur</c:v>
                </c:pt>
                <c:pt idx="4">
                  <c:v>Éclairage extérieur</c:v>
                </c:pt>
                <c:pt idx="5">
                  <c:v>Traitement d’air</c:v>
                </c:pt>
                <c:pt idx="6">
                  <c:v>Forces motrices</c:v>
                </c:pt>
                <c:pt idx="7">
                  <c:v>Cuisine</c:v>
                </c:pt>
                <c:pt idx="8">
                  <c:v>Prises de courant</c:v>
                </c:pt>
                <c:pt idx="9">
                  <c:v>Eau chaude sanitaire</c:v>
                </c:pt>
                <c:pt idx="10">
                  <c:v>Froid commercial</c:v>
                </c:pt>
                <c:pt idx="11">
                  <c:v>Piscine</c:v>
                </c:pt>
                <c:pt idx="12">
                  <c:v>Véhicules électriques</c:v>
                </c:pt>
                <c:pt idx="13">
                  <c:v>Production d’électricité</c:v>
                </c:pt>
                <c:pt idx="14">
                  <c:v>Commissionnement</c:v>
                </c:pt>
              </c:strCache>
            </c:strRef>
          </c:cat>
          <c:val>
            <c:numRef>
              <c:f>'SYNTHESE (i)'!$C$26:$C$40</c:f>
              <c:numCache>
                <c:formatCode>#\ ##0.0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E3-4052-8161-BB75F4A1B173}"/>
            </c:ext>
          </c:extLst>
        </c:ser>
        <c:ser>
          <c:idx val="1"/>
          <c:order val="1"/>
          <c:tx>
            <c:strRef>
              <c:f>'SYNTHESE (i)'!$D$25</c:f>
              <c:strCache>
                <c:ptCount val="1"/>
                <c:pt idx="0">
                  <c:v>EMPREINTE (2)</c:v>
                </c:pt>
              </c:strCache>
            </c:strRef>
          </c:tx>
          <c:spPr>
            <a:solidFill>
              <a:srgbClr val="FF420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lang="fr-FR"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'SYNTHESE (i)'!$B$26:$B$40</c:f>
              <c:strCache>
                <c:ptCount val="15"/>
                <c:pt idx="0">
                  <c:v>Consommations initiales</c:v>
                </c:pt>
                <c:pt idx="1">
                  <c:v>Chauffage</c:v>
                </c:pt>
                <c:pt idx="2">
                  <c:v>Rafraîchissement</c:v>
                </c:pt>
                <c:pt idx="3">
                  <c:v>Éclairage intérieur</c:v>
                </c:pt>
                <c:pt idx="4">
                  <c:v>Éclairage extérieur</c:v>
                </c:pt>
                <c:pt idx="5">
                  <c:v>Traitement d’air</c:v>
                </c:pt>
                <c:pt idx="6">
                  <c:v>Forces motrices</c:v>
                </c:pt>
                <c:pt idx="7">
                  <c:v>Cuisine</c:v>
                </c:pt>
                <c:pt idx="8">
                  <c:v>Prises de courant</c:v>
                </c:pt>
                <c:pt idx="9">
                  <c:v>Eau chaude sanitaire</c:v>
                </c:pt>
                <c:pt idx="10">
                  <c:v>Froid commercial</c:v>
                </c:pt>
                <c:pt idx="11">
                  <c:v>Piscine</c:v>
                </c:pt>
                <c:pt idx="12">
                  <c:v>Véhicules électriques</c:v>
                </c:pt>
                <c:pt idx="13">
                  <c:v>Production d’électricité</c:v>
                </c:pt>
                <c:pt idx="14">
                  <c:v>Commissionnement</c:v>
                </c:pt>
              </c:strCache>
            </c:strRef>
          </c:cat>
          <c:val>
            <c:numRef>
              <c:f>'SYNTHESE (i)'!$D$26:$D$40</c:f>
              <c:numCache>
                <c:formatCode>#\ ##0.0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E3-4052-8161-BB75F4A1B173}"/>
            </c:ext>
          </c:extLst>
        </c:ser>
        <c:ser>
          <c:idx val="2"/>
          <c:order val="2"/>
          <c:tx>
            <c:strRef>
              <c:f>'SYNTHESE (i)'!$E$25</c:f>
              <c:strCache>
                <c:ptCount val="1"/>
                <c:pt idx="0">
                  <c:v>EMPREINTE (3)</c:v>
                </c:pt>
              </c:strCache>
            </c:strRef>
          </c:tx>
          <c:spPr>
            <a:solidFill>
              <a:srgbClr val="FFD32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lang="fr-FR"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'SYNTHESE (i)'!$B$26:$B$40</c:f>
              <c:strCache>
                <c:ptCount val="15"/>
                <c:pt idx="0">
                  <c:v>Consommations initiales</c:v>
                </c:pt>
                <c:pt idx="1">
                  <c:v>Chauffage</c:v>
                </c:pt>
                <c:pt idx="2">
                  <c:v>Rafraîchissement</c:v>
                </c:pt>
                <c:pt idx="3">
                  <c:v>Éclairage intérieur</c:v>
                </c:pt>
                <c:pt idx="4">
                  <c:v>Éclairage extérieur</c:v>
                </c:pt>
                <c:pt idx="5">
                  <c:v>Traitement d’air</c:v>
                </c:pt>
                <c:pt idx="6">
                  <c:v>Forces motrices</c:v>
                </c:pt>
                <c:pt idx="7">
                  <c:v>Cuisine</c:v>
                </c:pt>
                <c:pt idx="8">
                  <c:v>Prises de courant</c:v>
                </c:pt>
                <c:pt idx="9">
                  <c:v>Eau chaude sanitaire</c:v>
                </c:pt>
                <c:pt idx="10">
                  <c:v>Froid commercial</c:v>
                </c:pt>
                <c:pt idx="11">
                  <c:v>Piscine</c:v>
                </c:pt>
                <c:pt idx="12">
                  <c:v>Véhicules électriques</c:v>
                </c:pt>
                <c:pt idx="13">
                  <c:v>Production d’électricité</c:v>
                </c:pt>
                <c:pt idx="14">
                  <c:v>Commissionnement</c:v>
                </c:pt>
              </c:strCache>
            </c:strRef>
          </c:cat>
          <c:val>
            <c:numRef>
              <c:f>'SYNTHESE (i)'!$E$26:$E$40</c:f>
              <c:numCache>
                <c:formatCode>#\ ##0.0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E3-4052-8161-BB75F4A1B173}"/>
            </c:ext>
          </c:extLst>
        </c:ser>
        <c:ser>
          <c:idx val="3"/>
          <c:order val="3"/>
          <c:tx>
            <c:strRef>
              <c:f>'SYNTHESE (i)'!$F$25</c:f>
              <c:strCache>
                <c:ptCount val="1"/>
                <c:pt idx="0">
                  <c:v>EMPREINTE (4)</c:v>
                </c:pt>
              </c:strCache>
            </c:strRef>
          </c:tx>
          <c:spPr>
            <a:solidFill>
              <a:srgbClr val="579D1C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lang="fr-FR"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'SYNTHESE (i)'!$B$26:$B$40</c:f>
              <c:strCache>
                <c:ptCount val="15"/>
                <c:pt idx="0">
                  <c:v>Consommations initiales</c:v>
                </c:pt>
                <c:pt idx="1">
                  <c:v>Chauffage</c:v>
                </c:pt>
                <c:pt idx="2">
                  <c:v>Rafraîchissement</c:v>
                </c:pt>
                <c:pt idx="3">
                  <c:v>Éclairage intérieur</c:v>
                </c:pt>
                <c:pt idx="4">
                  <c:v>Éclairage extérieur</c:v>
                </c:pt>
                <c:pt idx="5">
                  <c:v>Traitement d’air</c:v>
                </c:pt>
                <c:pt idx="6">
                  <c:v>Forces motrices</c:v>
                </c:pt>
                <c:pt idx="7">
                  <c:v>Cuisine</c:v>
                </c:pt>
                <c:pt idx="8">
                  <c:v>Prises de courant</c:v>
                </c:pt>
                <c:pt idx="9">
                  <c:v>Eau chaude sanitaire</c:v>
                </c:pt>
                <c:pt idx="10">
                  <c:v>Froid commercial</c:v>
                </c:pt>
                <c:pt idx="11">
                  <c:v>Piscine</c:v>
                </c:pt>
                <c:pt idx="12">
                  <c:v>Véhicules électriques</c:v>
                </c:pt>
                <c:pt idx="13">
                  <c:v>Production d’électricité</c:v>
                </c:pt>
                <c:pt idx="14">
                  <c:v>Commissionnement</c:v>
                </c:pt>
              </c:strCache>
            </c:strRef>
          </c:cat>
          <c:val>
            <c:numRef>
              <c:f>'SYNTHESE (i)'!$F$26:$F$40</c:f>
              <c:numCache>
                <c:formatCode>#\ ##0.0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E3-4052-8161-BB75F4A1B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2877371"/>
        <c:axId val="77855893"/>
      </c:barChart>
      <c:catAx>
        <c:axId val="42877371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lang="fr-FR" sz="1000" b="0" u="none" strike="noStrike">
                <a:solidFill>
                  <a:srgbClr val="000000"/>
                </a:solidFill>
                <a:uFillTx/>
                <a:latin typeface="Arial"/>
              </a:defRPr>
            </a:pPr>
            <a:endParaRPr lang="fr-FR"/>
          </a:p>
        </c:txPr>
        <c:crossAx val="77855893"/>
        <c:crossesAt val="0"/>
        <c:auto val="1"/>
        <c:lblAlgn val="ctr"/>
        <c:lblOffset val="100"/>
        <c:noMultiLvlLbl val="0"/>
      </c:catAx>
      <c:valAx>
        <c:axId val="77855893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lang="fr-FR" sz="1300" b="0" u="none" strike="noStrike">
                    <a:uFillTx/>
                    <a:latin typeface="Arial"/>
                  </a:defRPr>
                </a:pPr>
                <a:r>
                  <a:rPr lang="fr-FR" sz="900" b="0" u="none" strike="noStrike">
                    <a:solidFill>
                      <a:srgbClr val="000000"/>
                    </a:solidFill>
                    <a:uFillTx/>
                    <a:latin typeface="Arial"/>
                  </a:rPr>
                  <a:t>tCO2e / an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lang="fr-FR" sz="1000" b="0" u="none" strike="noStrike">
                <a:solidFill>
                  <a:srgbClr val="000000"/>
                </a:solidFill>
                <a:uFillTx/>
                <a:latin typeface="Arial"/>
              </a:defRPr>
            </a:pPr>
            <a:endParaRPr lang="fr-FR"/>
          </a:p>
        </c:txPr>
        <c:crossAx val="42877371"/>
        <c:crossesAt val="1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b"/>
      <c:layout>
        <c:manualLayout>
          <c:xMode val="edge"/>
          <c:yMode val="edge"/>
          <c:x val="0.33780579131303001"/>
          <c:y val="0.96565586951527704"/>
          <c:w val="0.43809286070893699"/>
          <c:h val="3.4286698828394198E-2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lang="fr-FR" sz="1000" b="0" u="none" strike="noStrike">
              <a:solidFill>
                <a:srgbClr val="000000"/>
              </a:solidFill>
              <a:uFillTx/>
              <a:latin typeface="Arial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lang="fr-FR" sz="1300" b="0" u="none" strike="noStrike">
                <a:uFillTx/>
                <a:latin typeface="Arial"/>
              </a:defRPr>
            </a:pPr>
            <a:r>
              <a:rPr lang="fr-FR" sz="1300" b="0" u="none" strike="noStrike">
                <a:solidFill>
                  <a:srgbClr val="000000"/>
                </a:solidFill>
                <a:uFillTx/>
                <a:latin typeface="Arial"/>
              </a:rPr>
              <a:t>Projet TEC-Tec / Autres émissions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'SYNTHESE (i)'!$C$51</c:f>
              <c:strCache>
                <c:ptCount val="1"/>
                <c:pt idx="0">
                  <c:v>EMPREINTE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FFD32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8CE8-42A9-95DA-C3414117C8CE}"/>
              </c:ext>
            </c:extLst>
          </c:dPt>
          <c:dLbls>
            <c:dLbl>
              <c:idx val="3"/>
              <c:spPr/>
              <c:txPr>
                <a:bodyPr wrap="none"/>
                <a:lstStyle/>
                <a:p>
                  <a:pPr>
                    <a:defRPr lang="fr-FR" sz="1000" b="0" u="none" strike="noStrik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8CE8-42A9-95DA-C3414117C8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lang="fr-FR"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'SYNTHESE (i)'!$B$52:$B$60</c:f>
              <c:strCache>
                <c:ptCount val="9"/>
                <c:pt idx="0">
                  <c:v>Habitants</c:v>
                </c:pt>
                <c:pt idx="1">
                  <c:v>Personnel</c:v>
                </c:pt>
                <c:pt idx="2">
                  <c:v>Élèves ou étudiants</c:v>
                </c:pt>
                <c:pt idx="3">
                  <c:v>Visiteurs</c:v>
                </c:pt>
                <c:pt idx="4">
                  <c:v>AUTRES SERVICES</c:v>
                </c:pt>
                <c:pt idx="5">
                  <c:v>Restauration</c:v>
                </c:pt>
                <c:pt idx="6">
                  <c:v>Activité commerciale</c:v>
                </c:pt>
                <c:pt idx="7">
                  <c:v>Adduction d’eau</c:v>
                </c:pt>
                <c:pt idx="8">
                  <c:v>Traitement des déchets</c:v>
                </c:pt>
              </c:strCache>
            </c:strRef>
          </c:cat>
          <c:val>
            <c:numRef>
              <c:f>'SYNTHESE (i)'!$C$52:$C$60</c:f>
              <c:numCache>
                <c:formatCode>#\ ##0.0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E8-42A9-95DA-C3414117C8CE}"/>
            </c:ext>
          </c:extLst>
        </c:ser>
        <c:ser>
          <c:idx val="1"/>
          <c:order val="1"/>
          <c:tx>
            <c:strRef>
              <c:f>'SYNTHESE (i)'!$D$51</c:f>
              <c:strCache>
                <c:ptCount val="1"/>
                <c:pt idx="0">
                  <c:v>EMPREINTE (2)</c:v>
                </c:pt>
              </c:strCache>
            </c:strRef>
          </c:tx>
          <c:spPr>
            <a:solidFill>
              <a:srgbClr val="FF420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lang="fr-FR"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'SYNTHESE (i)'!$B$52:$B$60</c:f>
              <c:strCache>
                <c:ptCount val="9"/>
                <c:pt idx="0">
                  <c:v>Habitants</c:v>
                </c:pt>
                <c:pt idx="1">
                  <c:v>Personnel</c:v>
                </c:pt>
                <c:pt idx="2">
                  <c:v>Élèves ou étudiants</c:v>
                </c:pt>
                <c:pt idx="3">
                  <c:v>Visiteurs</c:v>
                </c:pt>
                <c:pt idx="4">
                  <c:v>AUTRES SERVICES</c:v>
                </c:pt>
                <c:pt idx="5">
                  <c:v>Restauration</c:v>
                </c:pt>
                <c:pt idx="6">
                  <c:v>Activité commerciale</c:v>
                </c:pt>
                <c:pt idx="7">
                  <c:v>Adduction d’eau</c:v>
                </c:pt>
                <c:pt idx="8">
                  <c:v>Traitement des déchets</c:v>
                </c:pt>
              </c:strCache>
            </c:strRef>
          </c:cat>
          <c:val>
            <c:numRef>
              <c:f>'SYNTHESE (i)'!$D$52:$D$60</c:f>
              <c:numCache>
                <c:formatCode>#\ ##0.0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E8-42A9-95DA-C3414117C8CE}"/>
            </c:ext>
          </c:extLst>
        </c:ser>
        <c:ser>
          <c:idx val="2"/>
          <c:order val="2"/>
          <c:tx>
            <c:strRef>
              <c:f>'SYNTHESE (i)'!$E$51</c:f>
              <c:strCache>
                <c:ptCount val="1"/>
                <c:pt idx="0">
                  <c:v>EMPREINTE (3)</c:v>
                </c:pt>
              </c:strCache>
            </c:strRef>
          </c:tx>
          <c:spPr>
            <a:solidFill>
              <a:srgbClr val="FFD32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lang="fr-FR"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'SYNTHESE (i)'!$B$52:$B$60</c:f>
              <c:strCache>
                <c:ptCount val="9"/>
                <c:pt idx="0">
                  <c:v>Habitants</c:v>
                </c:pt>
                <c:pt idx="1">
                  <c:v>Personnel</c:v>
                </c:pt>
                <c:pt idx="2">
                  <c:v>Élèves ou étudiants</c:v>
                </c:pt>
                <c:pt idx="3">
                  <c:v>Visiteurs</c:v>
                </c:pt>
                <c:pt idx="4">
                  <c:v>AUTRES SERVICES</c:v>
                </c:pt>
                <c:pt idx="5">
                  <c:v>Restauration</c:v>
                </c:pt>
                <c:pt idx="6">
                  <c:v>Activité commerciale</c:v>
                </c:pt>
                <c:pt idx="7">
                  <c:v>Adduction d’eau</c:v>
                </c:pt>
                <c:pt idx="8">
                  <c:v>Traitement des déchets</c:v>
                </c:pt>
              </c:strCache>
            </c:strRef>
          </c:cat>
          <c:val>
            <c:numRef>
              <c:f>'SYNTHESE (i)'!$E$52:$E$60</c:f>
              <c:numCache>
                <c:formatCode>#\ ##0.0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E8-42A9-95DA-C3414117C8CE}"/>
            </c:ext>
          </c:extLst>
        </c:ser>
        <c:ser>
          <c:idx val="3"/>
          <c:order val="3"/>
          <c:tx>
            <c:strRef>
              <c:f>'SYNTHESE (i)'!$F$51</c:f>
              <c:strCache>
                <c:ptCount val="1"/>
                <c:pt idx="0">
                  <c:v>EMPREINTE (4)</c:v>
                </c:pt>
              </c:strCache>
            </c:strRef>
          </c:tx>
          <c:spPr>
            <a:solidFill>
              <a:srgbClr val="579D1C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lang="fr-FR"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'SYNTHESE (i)'!$B$52:$B$60</c:f>
              <c:strCache>
                <c:ptCount val="9"/>
                <c:pt idx="0">
                  <c:v>Habitants</c:v>
                </c:pt>
                <c:pt idx="1">
                  <c:v>Personnel</c:v>
                </c:pt>
                <c:pt idx="2">
                  <c:v>Élèves ou étudiants</c:v>
                </c:pt>
                <c:pt idx="3">
                  <c:v>Visiteurs</c:v>
                </c:pt>
                <c:pt idx="4">
                  <c:v>AUTRES SERVICES</c:v>
                </c:pt>
                <c:pt idx="5">
                  <c:v>Restauration</c:v>
                </c:pt>
                <c:pt idx="6">
                  <c:v>Activité commerciale</c:v>
                </c:pt>
                <c:pt idx="7">
                  <c:v>Adduction d’eau</c:v>
                </c:pt>
                <c:pt idx="8">
                  <c:v>Traitement des déchets</c:v>
                </c:pt>
              </c:strCache>
            </c:strRef>
          </c:cat>
          <c:val>
            <c:numRef>
              <c:f>'SYNTHESE (i)'!$F$52:$F$60</c:f>
              <c:numCache>
                <c:formatCode>#\ ##0.0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E8-42A9-95DA-C3414117C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6415681"/>
        <c:axId val="34972360"/>
      </c:barChart>
      <c:catAx>
        <c:axId val="96415681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lang="fr-FR" sz="1000" b="0" u="none" strike="noStrike">
                <a:solidFill>
                  <a:srgbClr val="000000"/>
                </a:solidFill>
                <a:uFillTx/>
                <a:latin typeface="Arial"/>
              </a:defRPr>
            </a:pPr>
            <a:endParaRPr lang="fr-FR"/>
          </a:p>
        </c:txPr>
        <c:crossAx val="34972360"/>
        <c:crossesAt val="0"/>
        <c:auto val="1"/>
        <c:lblAlgn val="ctr"/>
        <c:lblOffset val="100"/>
        <c:noMultiLvlLbl val="0"/>
      </c:catAx>
      <c:valAx>
        <c:axId val="34972360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lang="fr-FR" sz="1300" b="0" u="none" strike="noStrike">
                    <a:uFillTx/>
                    <a:latin typeface="Arial"/>
                  </a:defRPr>
                </a:pPr>
                <a:r>
                  <a:rPr lang="fr-FR" sz="900" b="0" u="none" strike="noStrike">
                    <a:solidFill>
                      <a:srgbClr val="000000"/>
                    </a:solidFill>
                    <a:uFillTx/>
                    <a:latin typeface="Arial"/>
                  </a:rPr>
                  <a:t>tCO2e / an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lang="fr-FR" sz="1000" b="0" u="none" strike="noStrike">
                <a:solidFill>
                  <a:srgbClr val="000000"/>
                </a:solidFill>
                <a:uFillTx/>
                <a:latin typeface="Arial"/>
              </a:defRPr>
            </a:pPr>
            <a:endParaRPr lang="fr-FR"/>
          </a:p>
        </c:txPr>
        <c:crossAx val="96415681"/>
        <c:crossesAt val="1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b"/>
      <c:layout>
        <c:manualLayout>
          <c:xMode val="edge"/>
          <c:yMode val="edge"/>
          <c:x val="0.19254309268049"/>
          <c:y val="0.93532434168272305"/>
          <c:w val="0.66774918810891803"/>
          <c:h val="6.4611432241490102E-2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lang="fr-FR" sz="1000" b="0" u="none" strike="noStrike">
              <a:solidFill>
                <a:srgbClr val="000000"/>
              </a:solidFill>
              <a:uFillTx/>
              <a:latin typeface="Arial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lang="fr-FR" sz="1300" b="0" u="none" strike="noStrike">
                <a:uFillTx/>
                <a:latin typeface="Arial"/>
              </a:defRPr>
            </a:pPr>
            <a:r>
              <a:rPr lang="fr-FR" sz="1300" b="0" u="none" strike="noStrike">
                <a:solidFill>
                  <a:srgbClr val="000000"/>
                </a:solidFill>
                <a:uFillTx/>
                <a:latin typeface="Arial"/>
              </a:rPr>
              <a:t>Projet TEC-Tec / Emissions annualisées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'SYNTHESE (i)'!$D$70</c:f>
              <c:strCache>
                <c:ptCount val="1"/>
                <c:pt idx="0">
                  <c:v>EMPREINTE</c:v>
                </c:pt>
              </c:strCache>
            </c:strRef>
          </c:tx>
          <c:spPr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lang="fr-FR"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80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'SYNTHESE (i)'!$C$71:$C$96</c:f>
              <c:strCache>
                <c:ptCount val="22"/>
                <c:pt idx="1">
                  <c:v>0</c:v>
                </c:pt>
                <c:pt idx="6">
                  <c:v>5</c:v>
                </c:pt>
                <c:pt idx="11">
                  <c:v>10</c:v>
                </c:pt>
                <c:pt idx="16">
                  <c:v>15</c:v>
                </c:pt>
                <c:pt idx="21">
                  <c:v>20</c:v>
                </c:pt>
              </c:strCache>
            </c:strRef>
          </c:cat>
          <c:val>
            <c:numRef>
              <c:f>'SYNTHESE (i)'!$D$71:$D$96</c:f>
              <c:numCache>
                <c:formatCode>#\ ##0\ _€;\-#\ ##0\ _€</c:formatCode>
                <c:ptCount val="26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DA-47F9-A59E-C448508B0DB3}"/>
            </c:ext>
          </c:extLst>
        </c:ser>
        <c:ser>
          <c:idx val="1"/>
          <c:order val="1"/>
          <c:tx>
            <c:strRef>
              <c:f>'SYNTHESE (i)'!$E$70</c:f>
              <c:strCache>
                <c:ptCount val="1"/>
                <c:pt idx="0">
                  <c:v>EMPREINTE (2)</c:v>
                </c:pt>
              </c:strCache>
            </c:strRef>
          </c:tx>
          <c:spPr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lang="fr-FR"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80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'SYNTHESE (i)'!$C$71:$C$96</c:f>
              <c:strCache>
                <c:ptCount val="22"/>
                <c:pt idx="1">
                  <c:v>0</c:v>
                </c:pt>
                <c:pt idx="6">
                  <c:v>5</c:v>
                </c:pt>
                <c:pt idx="11">
                  <c:v>10</c:v>
                </c:pt>
                <c:pt idx="16">
                  <c:v>15</c:v>
                </c:pt>
                <c:pt idx="21">
                  <c:v>20</c:v>
                </c:pt>
              </c:strCache>
            </c:strRef>
          </c:cat>
          <c:val>
            <c:numRef>
              <c:f>'SYNTHESE (i)'!$E$71:$E$96</c:f>
              <c:numCache>
                <c:formatCode>#\ ##0\ _€;\-#\ ##0\ _€</c:formatCode>
                <c:ptCount val="26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DA-47F9-A59E-C448508B0DB3}"/>
            </c:ext>
          </c:extLst>
        </c:ser>
        <c:ser>
          <c:idx val="2"/>
          <c:order val="2"/>
          <c:tx>
            <c:strRef>
              <c:f>'SYNTHESE (i)'!$F$70</c:f>
              <c:strCache>
                <c:ptCount val="1"/>
                <c:pt idx="0">
                  <c:v>EMPREINTE (3)</c:v>
                </c:pt>
              </c:strCache>
            </c:strRef>
          </c:tx>
          <c:spPr>
            <a:ln w="28800">
              <a:solidFill>
                <a:srgbClr val="FFD32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lang="fr-FR"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80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'SYNTHESE (i)'!$C$71:$C$96</c:f>
              <c:strCache>
                <c:ptCount val="22"/>
                <c:pt idx="1">
                  <c:v>0</c:v>
                </c:pt>
                <c:pt idx="6">
                  <c:v>5</c:v>
                </c:pt>
                <c:pt idx="11">
                  <c:v>10</c:v>
                </c:pt>
                <c:pt idx="16">
                  <c:v>15</c:v>
                </c:pt>
                <c:pt idx="21">
                  <c:v>20</c:v>
                </c:pt>
              </c:strCache>
            </c:strRef>
          </c:cat>
          <c:val>
            <c:numRef>
              <c:f>'SYNTHESE (i)'!$F$71:$F$96</c:f>
              <c:numCache>
                <c:formatCode>#\ ##0\ _€;\-#\ ##0\ _€</c:formatCode>
                <c:ptCount val="26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DA-47F9-A59E-C448508B0DB3}"/>
            </c:ext>
          </c:extLst>
        </c:ser>
        <c:ser>
          <c:idx val="3"/>
          <c:order val="3"/>
          <c:tx>
            <c:strRef>
              <c:f>'SYNTHESE (i)'!$G$70</c:f>
              <c:strCache>
                <c:ptCount val="1"/>
                <c:pt idx="0">
                  <c:v>EMPREINTE (4)</c:v>
                </c:pt>
              </c:strCache>
            </c:strRef>
          </c:tx>
          <c:spPr>
            <a:ln w="28800">
              <a:solidFill>
                <a:srgbClr val="579D1C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lang="fr-FR"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80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'SYNTHESE (i)'!$C$71:$C$96</c:f>
              <c:strCache>
                <c:ptCount val="22"/>
                <c:pt idx="1">
                  <c:v>0</c:v>
                </c:pt>
                <c:pt idx="6">
                  <c:v>5</c:v>
                </c:pt>
                <c:pt idx="11">
                  <c:v>10</c:v>
                </c:pt>
                <c:pt idx="16">
                  <c:v>15</c:v>
                </c:pt>
                <c:pt idx="21">
                  <c:v>20</c:v>
                </c:pt>
              </c:strCache>
            </c:strRef>
          </c:cat>
          <c:val>
            <c:numRef>
              <c:f>'SYNTHESE (i)'!$G$71:$G$96</c:f>
              <c:numCache>
                <c:formatCode>#\ ##0\ _€;\-#\ ##0\ _€</c:formatCode>
                <c:ptCount val="26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DA-47F9-A59E-C448508B0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71476136"/>
        <c:axId val="666669"/>
      </c:lineChart>
      <c:catAx>
        <c:axId val="7147613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lang="fr-FR" sz="1300" b="0" u="none" strike="noStrike">
                    <a:uFillTx/>
                    <a:latin typeface="Arial"/>
                  </a:defRPr>
                </a:pPr>
                <a:r>
                  <a:rPr lang="fr-FR" sz="900" b="0" u="none" strike="noStrike">
                    <a:solidFill>
                      <a:srgbClr val="000000"/>
                    </a:solidFill>
                    <a:uFillTx/>
                    <a:latin typeface="Arial"/>
                  </a:rPr>
                  <a:t>années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lang="fr-FR" sz="1000" b="0" u="none" strike="noStrike">
                <a:solidFill>
                  <a:srgbClr val="000000"/>
                </a:solidFill>
                <a:uFillTx/>
                <a:latin typeface="Arial"/>
              </a:defRPr>
            </a:pPr>
            <a:endParaRPr lang="fr-FR"/>
          </a:p>
        </c:txPr>
        <c:crossAx val="666669"/>
        <c:crosses val="autoZero"/>
        <c:auto val="1"/>
        <c:lblAlgn val="ctr"/>
        <c:lblOffset val="100"/>
        <c:noMultiLvlLbl val="0"/>
      </c:catAx>
      <c:valAx>
        <c:axId val="666669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lang="fr-FR" sz="1300" b="0" u="none" strike="noStrike">
                    <a:uFillTx/>
                    <a:latin typeface="Arial"/>
                  </a:defRPr>
                </a:pPr>
                <a:r>
                  <a:rPr lang="fr-FR" sz="900" b="0" u="none" strike="noStrike">
                    <a:solidFill>
                      <a:srgbClr val="000000"/>
                    </a:solidFill>
                    <a:uFillTx/>
                    <a:latin typeface="Arial"/>
                  </a:rPr>
                  <a:t>tCO2e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lang="fr-FR" sz="1000" b="0" u="none" strike="noStrike">
                <a:solidFill>
                  <a:srgbClr val="000000"/>
                </a:solidFill>
                <a:uFillTx/>
                <a:latin typeface="Arial"/>
              </a:defRPr>
            </a:pPr>
            <a:endParaRPr lang="fr-FR"/>
          </a:p>
        </c:txPr>
        <c:crossAx val="71476136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b"/>
      <c:layout>
        <c:manualLayout>
          <c:xMode val="edge"/>
          <c:yMode val="edge"/>
          <c:x val="0.17498756012605701"/>
          <c:y val="0.90320361635220103"/>
          <c:w val="0.63946480897882496"/>
          <c:h val="9.6698113207547204E-2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lang="fr-FR" sz="1000" b="0" u="none" strike="noStrike">
              <a:solidFill>
                <a:srgbClr val="000000"/>
              </a:solidFill>
              <a:uFillTx/>
              <a:latin typeface="Arial"/>
            </a:defRPr>
          </a:pPr>
          <a:endParaRPr lang="fr-FR"/>
        </a:p>
      </c:txPr>
    </c:legend>
    <c:plotVisOnly val="1"/>
    <c:dispBlanksAs val="zero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11489942038868"/>
          <c:y val="0"/>
          <c:w val="0.82526423457211096"/>
          <c:h val="0.88337801608579103"/>
        </c:manualLayout>
      </c:layout>
      <c:barChart>
        <c:barDir val="bar"/>
        <c:grouping val="percentStacked"/>
        <c:varyColors val="0"/>
        <c:ser>
          <c:idx val="0"/>
          <c:order val="0"/>
          <c:spPr>
            <a:noFill/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lang="fr-FR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'Data-Liste'!$N$56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2993-44B7-BA77-4796C1B9402B}"/>
            </c:ext>
          </c:extLst>
        </c:ser>
        <c:ser>
          <c:idx val="1"/>
          <c:order val="1"/>
          <c:spPr>
            <a:noFill/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lang="fr-FR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'Data-Liste'!$N$58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2993-44B7-BA77-4796C1B94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9619190"/>
        <c:axId val="21527498"/>
      </c:barChart>
      <c:catAx>
        <c:axId val="1961919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1527498"/>
        <c:crosses val="autoZero"/>
        <c:auto val="1"/>
        <c:lblAlgn val="ctr"/>
        <c:lblOffset val="100"/>
        <c:noMultiLvlLbl val="0"/>
      </c:catAx>
      <c:valAx>
        <c:axId val="21527498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9619190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noFill/>
    <a:ln w="936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fr-FR" sz="1300" b="0" u="none" strike="noStrike">
                <a:uFillTx/>
                <a:latin typeface="Arial"/>
              </a:defRPr>
            </a:pPr>
            <a:r>
              <a:rPr lang="fr-FR" sz="1600" b="1" u="none" strike="noStrike">
                <a:solidFill>
                  <a:srgbClr val="FFFFFF"/>
                </a:solidFill>
                <a:uFillTx/>
                <a:latin typeface="Arial Narrow"/>
              </a:rPr>
              <a:t>Jauge énergie</a:t>
            </a:r>
          </a:p>
        </c:rich>
      </c:tx>
      <c:layout>
        <c:manualLayout>
          <c:xMode val="edge"/>
          <c:yMode val="edge"/>
          <c:x val="0.24019095905112595"/>
          <c:y val="0.1904212929312273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686980609418298"/>
          <c:y val="0.2515139352322886"/>
          <c:w val="0.29866532359607201"/>
          <c:h val="0.67690736072592017"/>
        </c:manualLayout>
      </c:layout>
      <c:scatterChart>
        <c:scatterStyle val="lineMarker"/>
        <c:varyColors val="0"/>
        <c:ser>
          <c:idx val="0"/>
          <c:order val="0"/>
          <c:tx>
            <c:strRef>
              <c:f>PROJET!$J$28</c:f>
              <c:strCache>
                <c:ptCount val="1"/>
                <c:pt idx="0">
                  <c:v>min</c:v>
                </c:pt>
              </c:strCache>
            </c:strRef>
          </c:tx>
          <c:spPr>
            <a:ln w="28800">
              <a:noFill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lang="fr-FR"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800">
                      <a:noFill/>
                    </a:ln>
                  </c:spPr>
                </c15:leaderLines>
              </c:ext>
            </c:extLst>
          </c:dLbls>
          <c:xVal>
            <c:strRef>
              <c:f>PROJET!$K$27</c:f>
              <c:strCache>
                <c:ptCount val="1"/>
                <c:pt idx="0">
                  <c:v>Note TEC-Tec</c:v>
                </c:pt>
              </c:strCache>
            </c:strRef>
          </c:xVal>
          <c:yVal>
            <c:numRef>
              <c:f>PROJET!$K$32</c:f>
              <c:numCache>
                <c:formatCode>#,##0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DDA-4F55-AA40-83448E45B87C}"/>
            </c:ext>
          </c:extLst>
        </c:ser>
        <c:ser>
          <c:idx val="1"/>
          <c:order val="1"/>
          <c:tx>
            <c:strRef>
              <c:f>PROJET!$J$33</c:f>
              <c:strCache>
                <c:ptCount val="1"/>
                <c:pt idx="0">
                  <c:v>oiseau</c:v>
                </c:pt>
              </c:strCache>
            </c:strRef>
          </c:tx>
          <c:spPr>
            <a:ln w="28800">
              <a:noFill/>
            </a:ln>
            <a:effectLst>
              <a:outerShdw blurRad="76200" dist="50800" dir="5400000" sx="117000" sy="117000" algn="ctr" rotWithShape="0">
                <a:schemeClr val="bg1"/>
              </a:outerShdw>
            </a:effectLst>
          </c:spPr>
          <c:marker>
            <c:symbol val="circle"/>
            <c:size val="33"/>
            <c:spPr>
              <a:blipFill dpi="0" rotWithShape="1">
                <a:blip xmlns:r="http://schemas.openxmlformats.org/officeDocument/2006/relationships" r:embed="rId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effectLst>
                <a:outerShdw blurRad="76200" dist="50800" dir="5400000" sx="117000" sy="117000" algn="ctr" rotWithShape="0">
                  <a:schemeClr val="bg1"/>
                </a:outerShdw>
              </a:effectLst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4DDA-4F55-AA40-83448E45B87C}"/>
              </c:ext>
            </c:extLst>
          </c:dPt>
          <c:dLbls>
            <c:dLbl>
              <c:idx val="0"/>
              <c:spPr/>
              <c:txPr>
                <a:bodyPr wrap="none"/>
                <a:lstStyle/>
                <a:p>
                  <a:pPr>
                    <a:defRPr lang="fr-FR" sz="1000" b="0" u="none" strike="noStrik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DA-4F55-AA40-83448E45B8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lang="fr-FR"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800">
                      <a:noFill/>
                    </a:ln>
                  </c:spPr>
                </c15:leaderLines>
              </c:ext>
            </c:extLst>
          </c:dLbls>
          <c:xVal>
            <c:strRef>
              <c:f>PROJET!$K$27</c:f>
              <c:strCache>
                <c:ptCount val="1"/>
                <c:pt idx="0">
                  <c:v>Note TEC-Tec</c:v>
                </c:pt>
              </c:strCache>
            </c:strRef>
          </c:xVal>
          <c:yVal>
            <c:numRef>
              <c:f>PROJET!$K$33</c:f>
              <c:numCache>
                <c:formatCode>00" points"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DDA-4F55-AA40-83448E45B87C}"/>
            </c:ext>
          </c:extLst>
        </c:ser>
        <c:ser>
          <c:idx val="2"/>
          <c:order val="2"/>
          <c:tx>
            <c:strRef>
              <c:f>PROJET!$J$34</c:f>
              <c:strCache>
                <c:ptCount val="1"/>
                <c:pt idx="0">
                  <c:v>max</c:v>
                </c:pt>
              </c:strCache>
            </c:strRef>
          </c:tx>
          <c:spPr>
            <a:ln w="28800">
              <a:noFill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lang="fr-FR"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800">
                      <a:noFill/>
                    </a:ln>
                  </c:spPr>
                </c15:leaderLines>
              </c:ext>
            </c:extLst>
          </c:dLbls>
          <c:xVal>
            <c:strRef>
              <c:f>PROJET!$K$27</c:f>
              <c:strCache>
                <c:ptCount val="1"/>
                <c:pt idx="0">
                  <c:v>Note TEC-Tec</c:v>
                </c:pt>
              </c:strCache>
            </c:strRef>
          </c:xVal>
          <c:yVal>
            <c:numRef>
              <c:f>PROJET!$K$34</c:f>
              <c:numCache>
                <c:formatCode>General</c:formatCode>
                <c:ptCount val="1"/>
                <c:pt idx="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DDA-4F55-AA40-83448E45B87C}"/>
            </c:ext>
          </c:extLst>
        </c:ser>
        <c:ser>
          <c:idx val="3"/>
          <c:order val="3"/>
          <c:tx>
            <c:strRef>
              <c:f>PROJET!$J$28</c:f>
              <c:strCache>
                <c:ptCount val="1"/>
                <c:pt idx="0">
                  <c:v>min</c:v>
                </c:pt>
              </c:strCache>
            </c:strRef>
          </c:tx>
          <c:spPr>
            <a:ln w="38100">
              <a:noFill/>
            </a:ln>
          </c:spPr>
          <c:marker>
            <c:symbol val="none"/>
          </c:marker>
          <c:xVal>
            <c:strRef>
              <c:f>PROJET!$K$27</c:f>
              <c:strCache>
                <c:ptCount val="1"/>
                <c:pt idx="0">
                  <c:v>Note TEC-Tec</c:v>
                </c:pt>
              </c:strCache>
            </c:strRef>
          </c:xVal>
          <c:yVal>
            <c:numRef>
              <c:f>PROJET!$K$28</c:f>
              <c:numCache>
                <c:formatCode>#,##0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DDA-4F55-AA40-83448E45B87C}"/>
            </c:ext>
          </c:extLst>
        </c:ser>
        <c:ser>
          <c:idx val="4"/>
          <c:order val="4"/>
          <c:tx>
            <c:strRef>
              <c:f>PROJET!$J$29</c:f>
              <c:strCache>
                <c:ptCount val="1"/>
                <c:pt idx="0">
                  <c:v>oiseau</c:v>
                </c:pt>
              </c:strCache>
            </c:strRef>
          </c:tx>
          <c:spPr>
            <a:ln w="38100">
              <a:noFill/>
            </a:ln>
          </c:spPr>
          <c:marker>
            <c:symbol val="none"/>
          </c:marker>
          <c:xVal>
            <c:strRef>
              <c:f>PROJET!$K$27</c:f>
              <c:strCache>
                <c:ptCount val="1"/>
                <c:pt idx="0">
                  <c:v>Note TEC-Tec</c:v>
                </c:pt>
              </c:strCache>
            </c:strRef>
          </c:xVal>
          <c:yVal>
            <c:numRef>
              <c:f>PROJET!$K$29</c:f>
              <c:numCache>
                <c:formatCode>00" points"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DDA-4F55-AA40-83448E45B87C}"/>
            </c:ext>
          </c:extLst>
        </c:ser>
        <c:ser>
          <c:idx val="5"/>
          <c:order val="5"/>
          <c:tx>
            <c:strRef>
              <c:f>PROJET!$J$34</c:f>
              <c:strCache>
                <c:ptCount val="1"/>
                <c:pt idx="0">
                  <c:v>max</c:v>
                </c:pt>
              </c:strCache>
            </c:strRef>
          </c:tx>
          <c:spPr>
            <a:ln w="38100">
              <a:noFill/>
            </a:ln>
          </c:spPr>
          <c:marker>
            <c:symbol val="none"/>
          </c:marker>
          <c:xVal>
            <c:strRef>
              <c:f>PROJET!$K$27</c:f>
              <c:strCache>
                <c:ptCount val="1"/>
                <c:pt idx="0">
                  <c:v>Note TEC-Tec</c:v>
                </c:pt>
              </c:strCache>
            </c:strRef>
          </c:xVal>
          <c:yVal>
            <c:numRef>
              <c:f>PROJET!$K$34</c:f>
              <c:numCache>
                <c:formatCode>General</c:formatCode>
                <c:ptCount val="1"/>
                <c:pt idx="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DDA-4F55-AA40-83448E45B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457012"/>
        <c:axId val="89594417"/>
      </c:scatterChart>
      <c:valAx>
        <c:axId val="264570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one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lang="fr-FR" sz="1000" b="0" u="none" strike="noStrike">
                <a:solidFill>
                  <a:srgbClr val="000000"/>
                </a:solidFill>
                <a:uFillTx/>
                <a:latin typeface="Arial"/>
              </a:defRPr>
            </a:pPr>
            <a:endParaRPr lang="fr-FR"/>
          </a:p>
        </c:txPr>
        <c:crossAx val="89594417"/>
        <c:crosses val="autoZero"/>
        <c:crossBetween val="midCat"/>
      </c:valAx>
      <c:valAx>
        <c:axId val="89594417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0">
            <a:solidFill>
              <a:srgbClr val="B3B3B3">
                <a:alpha val="0"/>
              </a:srgbClr>
            </a:solidFill>
          </a:ln>
        </c:spPr>
        <c:txPr>
          <a:bodyPr/>
          <a:lstStyle/>
          <a:p>
            <a:pPr>
              <a:defRPr lang="fr-FR" sz="1000" b="0" u="none" strike="noStrike">
                <a:solidFill>
                  <a:srgbClr val="000000"/>
                </a:solidFill>
                <a:uFillTx/>
                <a:latin typeface="Arial"/>
              </a:defRPr>
            </a:pPr>
            <a:endParaRPr lang="fr-FR"/>
          </a:p>
        </c:txPr>
        <c:crossAx val="26457012"/>
        <c:crosses val="autoZero"/>
        <c:crossBetween val="midCat"/>
      </c:valAx>
      <c:spPr>
        <a:noFill/>
        <a:ln w="0">
          <a:solidFill>
            <a:srgbClr val="B3B3B3">
              <a:alpha val="0"/>
            </a:srgbClr>
          </a:solidFill>
        </a:ln>
      </c:spPr>
    </c:plotArea>
    <c:plotVisOnly val="1"/>
    <c:dispBlanksAs val="span"/>
    <c:showDLblsOverMax val="1"/>
  </c:chart>
  <c:spPr>
    <a:noFill/>
    <a:ln w="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fr-FR" sz="1300" b="0" u="none" strike="noStrike">
                <a:uFillTx/>
                <a:latin typeface="Arial"/>
              </a:defRPr>
            </a:pPr>
            <a:r>
              <a:rPr lang="fr-FR" sz="1600" b="1" u="none" strike="noStrike">
                <a:solidFill>
                  <a:srgbClr val="FFFFFF"/>
                </a:solidFill>
                <a:uFillTx/>
                <a:latin typeface="Arial Narrow"/>
              </a:rPr>
              <a:t>Jauge construction</a:t>
            </a:r>
          </a:p>
        </c:rich>
      </c:tx>
      <c:layout>
        <c:manualLayout>
          <c:xMode val="edge"/>
          <c:yMode val="edge"/>
          <c:x val="0.16969154192032274"/>
          <c:y val="0.1835118190087788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686980609418298"/>
          <c:y val="0.47226635097080827"/>
          <c:w val="0.29866532359607201"/>
          <c:h val="0.45270029857632199"/>
        </c:manualLayout>
      </c:layout>
      <c:scatterChart>
        <c:scatterStyle val="lineMarker"/>
        <c:varyColors val="0"/>
        <c:ser>
          <c:idx val="0"/>
          <c:order val="0"/>
          <c:tx>
            <c:strRef>
              <c:f>PROJET!$J$28</c:f>
              <c:strCache>
                <c:ptCount val="1"/>
                <c:pt idx="0">
                  <c:v>min</c:v>
                </c:pt>
              </c:strCache>
            </c:strRef>
          </c:tx>
          <c:spPr>
            <a:ln w="28800">
              <a:noFill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lang="fr-FR"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800">
                      <a:noFill/>
                    </a:ln>
                  </c:spPr>
                </c15:leaderLines>
              </c:ext>
            </c:extLst>
          </c:dLbls>
          <c:xVal>
            <c:strRef>
              <c:f>PROJET!$K$27</c:f>
              <c:strCache>
                <c:ptCount val="1"/>
                <c:pt idx="0">
                  <c:v>Note TEC-Tec</c:v>
                </c:pt>
              </c:strCache>
            </c:strRef>
          </c:xVal>
          <c:yVal>
            <c:numRef>
              <c:f>PROJET!$K$28</c:f>
              <c:numCache>
                <c:formatCode>#,##0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5D-4082-AC40-C6631FC5A9B3}"/>
            </c:ext>
          </c:extLst>
        </c:ser>
        <c:ser>
          <c:idx val="1"/>
          <c:order val="1"/>
          <c:tx>
            <c:strRef>
              <c:f>PROJET!$J$29</c:f>
              <c:strCache>
                <c:ptCount val="1"/>
                <c:pt idx="0">
                  <c:v>oiseau</c:v>
                </c:pt>
              </c:strCache>
            </c:strRef>
          </c:tx>
          <c:spPr>
            <a:ln w="28800">
              <a:noFill/>
            </a:ln>
            <a:effectLst>
              <a:outerShdw blurRad="76200" dist="50800" dir="5400000" sx="130000" sy="130000" algn="ctr" rotWithShape="0">
                <a:schemeClr val="bg1"/>
              </a:outerShdw>
            </a:effectLst>
          </c:spPr>
          <c:marker>
            <c:symbol val="circle"/>
            <c:size val="33"/>
            <c:spPr>
              <a:blipFill dpi="0" rotWithShape="1">
                <a:blip xmlns:r="http://schemas.openxmlformats.org/officeDocument/2006/relationships" r:embed="rId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effectLst>
                <a:outerShdw blurRad="76200" dist="50800" dir="5400000" sx="130000" sy="130000" algn="ctr" rotWithShape="0">
                  <a:schemeClr val="bg1"/>
                </a:outerShdw>
              </a:effectLst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265D-4082-AC40-C6631FC5A9B3}"/>
              </c:ext>
            </c:extLst>
          </c:dPt>
          <c:dLbls>
            <c:dLbl>
              <c:idx val="0"/>
              <c:spPr/>
              <c:txPr>
                <a:bodyPr wrap="none"/>
                <a:lstStyle/>
                <a:p>
                  <a:pPr>
                    <a:defRPr lang="fr-FR" sz="1000" b="0" u="none" strike="noStrik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5D-4082-AC40-C6631FC5A9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lang="fr-FR"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800">
                      <a:noFill/>
                    </a:ln>
                  </c:spPr>
                </c15:leaderLines>
              </c:ext>
            </c:extLst>
          </c:dLbls>
          <c:xVal>
            <c:strRef>
              <c:f>PROJET!$K$27</c:f>
              <c:strCache>
                <c:ptCount val="1"/>
                <c:pt idx="0">
                  <c:v>Note TEC-Tec</c:v>
                </c:pt>
              </c:strCache>
            </c:strRef>
          </c:xVal>
          <c:yVal>
            <c:numRef>
              <c:f>SYNTHESE!$L$30</c:f>
              <c:numCache>
                <c:formatCode>00" points  / 30"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65D-4082-AC40-C6631FC5A9B3}"/>
            </c:ext>
          </c:extLst>
        </c:ser>
        <c:ser>
          <c:idx val="2"/>
          <c:order val="2"/>
          <c:tx>
            <c:strRef>
              <c:f>PROJET!$J$30</c:f>
              <c:strCache>
                <c:ptCount val="1"/>
                <c:pt idx="0">
                  <c:v>max</c:v>
                </c:pt>
              </c:strCache>
            </c:strRef>
          </c:tx>
          <c:spPr>
            <a:ln w="28800">
              <a:noFill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lang="fr-FR"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800">
                      <a:noFill/>
                    </a:ln>
                  </c:spPr>
                </c15:leaderLines>
              </c:ext>
            </c:extLst>
          </c:dLbls>
          <c:xVal>
            <c:strRef>
              <c:f>PROJET!$K$27</c:f>
              <c:strCache>
                <c:ptCount val="1"/>
                <c:pt idx="0">
                  <c:v>Note TEC-Tec</c:v>
                </c:pt>
              </c:strCache>
            </c:strRef>
          </c:xVal>
          <c:yVal>
            <c:numRef>
              <c:f>PROJET!$K$30</c:f>
              <c:numCache>
                <c:formatCode>General</c:formatCode>
                <c:ptCount val="1"/>
                <c:pt idx="0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65D-4082-AC40-C6631FC5A9B3}"/>
            </c:ext>
          </c:extLst>
        </c:ser>
        <c:ser>
          <c:idx val="3"/>
          <c:order val="3"/>
          <c:tx>
            <c:strRef>
              <c:f>PROJET!$J$28</c:f>
              <c:strCache>
                <c:ptCount val="1"/>
                <c:pt idx="0">
                  <c:v>min</c:v>
                </c:pt>
              </c:strCache>
            </c:strRef>
          </c:tx>
          <c:spPr>
            <a:ln w="38100">
              <a:noFill/>
            </a:ln>
          </c:spPr>
          <c:marker>
            <c:symbol val="none"/>
          </c:marker>
          <c:xVal>
            <c:strRef>
              <c:f>PROJET!$K$27</c:f>
              <c:strCache>
                <c:ptCount val="1"/>
                <c:pt idx="0">
                  <c:v>Note TEC-Tec</c:v>
                </c:pt>
              </c:strCache>
            </c:strRef>
          </c:xVal>
          <c:yVal>
            <c:numRef>
              <c:f>PROJET!$K$28</c:f>
              <c:numCache>
                <c:formatCode>#,##0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65D-4082-AC40-C6631FC5A9B3}"/>
            </c:ext>
          </c:extLst>
        </c:ser>
        <c:ser>
          <c:idx val="4"/>
          <c:order val="4"/>
          <c:tx>
            <c:strRef>
              <c:f>PROJET!$J$29</c:f>
              <c:strCache>
                <c:ptCount val="1"/>
                <c:pt idx="0">
                  <c:v>oiseau</c:v>
                </c:pt>
              </c:strCache>
            </c:strRef>
          </c:tx>
          <c:spPr>
            <a:ln w="38100">
              <a:noFill/>
            </a:ln>
          </c:spPr>
          <c:marker>
            <c:symbol val="none"/>
          </c:marker>
          <c:xVal>
            <c:strRef>
              <c:f>PROJET!$K$27</c:f>
              <c:strCache>
                <c:ptCount val="1"/>
                <c:pt idx="0">
                  <c:v>Note TEC-Tec</c:v>
                </c:pt>
              </c:strCache>
            </c:strRef>
          </c:xVal>
          <c:yVal>
            <c:numRef>
              <c:f>SYNTHESE!$L$30</c:f>
              <c:numCache>
                <c:formatCode>00" points  / 30"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65D-4082-AC40-C6631FC5A9B3}"/>
            </c:ext>
          </c:extLst>
        </c:ser>
        <c:ser>
          <c:idx val="5"/>
          <c:order val="5"/>
          <c:tx>
            <c:strRef>
              <c:f>PROJET!$J$30</c:f>
              <c:strCache>
                <c:ptCount val="1"/>
                <c:pt idx="0">
                  <c:v>max</c:v>
                </c:pt>
              </c:strCache>
            </c:strRef>
          </c:tx>
          <c:spPr>
            <a:ln w="38100">
              <a:noFill/>
            </a:ln>
          </c:spPr>
          <c:marker>
            <c:symbol val="none"/>
          </c:marker>
          <c:xVal>
            <c:strRef>
              <c:f>PROJET!$K$27</c:f>
              <c:strCache>
                <c:ptCount val="1"/>
                <c:pt idx="0">
                  <c:v>Note TEC-Tec</c:v>
                </c:pt>
              </c:strCache>
            </c:strRef>
          </c:xVal>
          <c:yVal>
            <c:numRef>
              <c:f>PROJET!$K$30</c:f>
              <c:numCache>
                <c:formatCode>General</c:formatCode>
                <c:ptCount val="1"/>
                <c:pt idx="0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65D-4082-AC40-C6631FC5A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457012"/>
        <c:axId val="89594417"/>
      </c:scatterChart>
      <c:valAx>
        <c:axId val="264570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one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lang="fr-FR" sz="1000" b="0" u="none" strike="noStrike">
                <a:solidFill>
                  <a:srgbClr val="000000"/>
                </a:solidFill>
                <a:uFillTx/>
                <a:latin typeface="Arial"/>
              </a:defRPr>
            </a:pPr>
            <a:endParaRPr lang="fr-FR"/>
          </a:p>
        </c:txPr>
        <c:crossAx val="89594417"/>
        <c:crosses val="autoZero"/>
        <c:crossBetween val="midCat"/>
      </c:valAx>
      <c:valAx>
        <c:axId val="89594417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0">
            <a:solidFill>
              <a:srgbClr val="B3B3B3">
                <a:alpha val="0"/>
              </a:srgbClr>
            </a:solidFill>
          </a:ln>
        </c:spPr>
        <c:txPr>
          <a:bodyPr/>
          <a:lstStyle/>
          <a:p>
            <a:pPr>
              <a:defRPr lang="fr-FR" sz="1000" b="0" u="none" strike="noStrike">
                <a:solidFill>
                  <a:srgbClr val="000000"/>
                </a:solidFill>
                <a:uFillTx/>
                <a:latin typeface="Arial"/>
              </a:defRPr>
            </a:pPr>
            <a:endParaRPr lang="fr-FR"/>
          </a:p>
        </c:txPr>
        <c:crossAx val="26457012"/>
        <c:crosses val="autoZero"/>
        <c:crossBetween val="midCat"/>
      </c:valAx>
      <c:spPr>
        <a:noFill/>
        <a:ln w="0">
          <a:solidFill>
            <a:srgbClr val="B3B3B3">
              <a:alpha val="0"/>
            </a:srgbClr>
          </a:solidFill>
        </a:ln>
      </c:spPr>
    </c:plotArea>
    <c:plotVisOnly val="1"/>
    <c:dispBlanksAs val="span"/>
    <c:showDLblsOverMax val="1"/>
  </c:chart>
  <c:spPr>
    <a:noFill/>
    <a:ln w="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lang="fr-FR" sz="1300" b="0" u="none" strike="noStrike">
                <a:uFillTx/>
                <a:latin typeface="Arial"/>
              </a:defRPr>
            </a:pPr>
            <a:r>
              <a:rPr lang="fr-FR" sz="1300" b="0" u="none" strike="noStrike">
                <a:solidFill>
                  <a:srgbClr val="000000"/>
                </a:solidFill>
                <a:uFillTx/>
                <a:latin typeface="Arial"/>
              </a:rPr>
              <a:t>Projet TEC-Tec / Emissions de construction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SYNTHESE!$C$7</c:f>
              <c:strCache>
                <c:ptCount val="1"/>
                <c:pt idx="0">
                  <c:v>tCO2e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BCB7-42DA-9049-CE535E8C3C67}"/>
              </c:ext>
            </c:extLst>
          </c:dPt>
          <c:dPt>
            <c:idx val="1"/>
            <c:bubble3D val="0"/>
            <c:spPr>
              <a:solidFill>
                <a:srgbClr val="FF420E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BCB7-42DA-9049-CE535E8C3C67}"/>
              </c:ext>
            </c:extLst>
          </c:dPt>
          <c:dPt>
            <c:idx val="2"/>
            <c:bubble3D val="0"/>
            <c:spPr>
              <a:solidFill>
                <a:srgbClr val="FFD32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BCB7-42DA-9049-CE535E8C3C67}"/>
              </c:ext>
            </c:extLst>
          </c:dPt>
          <c:dPt>
            <c:idx val="3"/>
            <c:bubble3D val="0"/>
            <c:spPr>
              <a:solidFill>
                <a:srgbClr val="579D1C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BCB7-42DA-9049-CE535E8C3C67}"/>
              </c:ext>
            </c:extLst>
          </c:dPt>
          <c:dPt>
            <c:idx val="4"/>
            <c:bubble3D val="0"/>
            <c:spPr>
              <a:solidFill>
                <a:srgbClr val="7E0021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9-BCB7-42DA-9049-CE535E8C3C67}"/>
              </c:ext>
            </c:extLst>
          </c:dPt>
          <c:dPt>
            <c:idx val="5"/>
            <c:bubble3D val="0"/>
            <c:spPr>
              <a:solidFill>
                <a:srgbClr val="83CAFF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B-BCB7-42DA-9049-CE535E8C3C67}"/>
              </c:ext>
            </c:extLst>
          </c:dPt>
          <c:dPt>
            <c:idx val="6"/>
            <c:bubble3D val="0"/>
            <c:spPr>
              <a:solidFill>
                <a:srgbClr val="31400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D-BCB7-42DA-9049-CE535E8C3C67}"/>
              </c:ext>
            </c:extLst>
          </c:dPt>
          <c:dLbls>
            <c:dLbl>
              <c:idx val="0"/>
              <c:spPr/>
              <c:txPr>
                <a:bodyPr wrap="none"/>
                <a:lstStyle/>
                <a:p>
                  <a:pPr>
                    <a:defRPr lang="fr-FR" sz="1000" b="0" u="none" strike="noStrik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BCB7-42DA-9049-CE535E8C3C67}"/>
                </c:ext>
              </c:extLst>
            </c:dLbl>
            <c:dLbl>
              <c:idx val="1"/>
              <c:spPr/>
              <c:txPr>
                <a:bodyPr wrap="none"/>
                <a:lstStyle/>
                <a:p>
                  <a:pPr>
                    <a:defRPr lang="fr-FR" sz="1000" b="0" u="none" strike="noStrik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BCB7-42DA-9049-CE535E8C3C67}"/>
                </c:ext>
              </c:extLst>
            </c:dLbl>
            <c:dLbl>
              <c:idx val="2"/>
              <c:spPr/>
              <c:txPr>
                <a:bodyPr wrap="none"/>
                <a:lstStyle/>
                <a:p>
                  <a:pPr>
                    <a:defRPr lang="fr-FR" sz="1000" b="0" u="none" strike="noStrik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BCB7-42DA-9049-CE535E8C3C67}"/>
                </c:ext>
              </c:extLst>
            </c:dLbl>
            <c:dLbl>
              <c:idx val="3"/>
              <c:spPr/>
              <c:txPr>
                <a:bodyPr wrap="none"/>
                <a:lstStyle/>
                <a:p>
                  <a:pPr>
                    <a:defRPr lang="fr-FR" sz="1000" b="0" u="none" strike="noStrik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BCB7-42DA-9049-CE535E8C3C67}"/>
                </c:ext>
              </c:extLst>
            </c:dLbl>
            <c:dLbl>
              <c:idx val="4"/>
              <c:spPr/>
              <c:txPr>
                <a:bodyPr wrap="none"/>
                <a:lstStyle/>
                <a:p>
                  <a:pPr>
                    <a:defRPr lang="fr-FR" sz="1000" b="0" u="none" strike="noStrik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BCB7-42DA-9049-CE535E8C3C67}"/>
                </c:ext>
              </c:extLst>
            </c:dLbl>
            <c:dLbl>
              <c:idx val="5"/>
              <c:spPr/>
              <c:txPr>
                <a:bodyPr wrap="none"/>
                <a:lstStyle/>
                <a:p>
                  <a:pPr>
                    <a:defRPr lang="fr-FR" sz="1000" b="0" u="none" strike="noStrik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B-BCB7-42DA-9049-CE535E8C3C67}"/>
                </c:ext>
              </c:extLst>
            </c:dLbl>
            <c:dLbl>
              <c:idx val="6"/>
              <c:spPr/>
              <c:txPr>
                <a:bodyPr wrap="none"/>
                <a:lstStyle/>
                <a:p>
                  <a:pPr>
                    <a:defRPr lang="fr-FR" sz="1000" b="0" u="none" strike="noStrik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D-BCB7-42DA-9049-CE535E8C3C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lang="fr-FR"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1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SYNTHESE!$B$8:$B$14</c:f>
              <c:strCache>
                <c:ptCount val="7"/>
                <c:pt idx="0">
                  <c:v>Conception</c:v>
                </c:pt>
                <c:pt idx="1">
                  <c:v>Démolitions</c:v>
                </c:pt>
                <c:pt idx="2">
                  <c:v>Aménagements extérieurs</c:v>
                </c:pt>
                <c:pt idx="3">
                  <c:v>Structure</c:v>
                </c:pt>
                <c:pt idx="4">
                  <c:v>Clos couvert</c:v>
                </c:pt>
                <c:pt idx="5">
                  <c:v>Aménagements intérieurs</c:v>
                </c:pt>
                <c:pt idx="6">
                  <c:v>Équipements techniques</c:v>
                </c:pt>
              </c:strCache>
            </c:strRef>
          </c:cat>
          <c:val>
            <c:numRef>
              <c:f>SYNTHESE!$C$8:$C$14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CB7-42DA-9049-CE535E8C3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64222057264468313"/>
          <c:y val="0.28699438310787312"/>
          <c:w val="0.35777942735531681"/>
          <c:h val="0.53285688692799205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lang="fr-FR" sz="1000" b="0" u="none" strike="noStrike">
              <a:solidFill>
                <a:srgbClr val="000000"/>
              </a:solidFill>
              <a:uFillTx/>
              <a:latin typeface="Arial"/>
            </a:defRPr>
          </a:pPr>
          <a:endParaRPr lang="fr-FR"/>
        </a:p>
      </c:txPr>
    </c:legend>
    <c:plotVisOnly val="1"/>
    <c:dispBlanksAs val="zero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lang="fr-FR" sz="1300" b="0" u="none" strike="noStrike">
                <a:uFillTx/>
                <a:latin typeface="Arial"/>
              </a:defRPr>
            </a:pPr>
            <a:r>
              <a:rPr lang="fr-FR" sz="1300" b="0" u="none" strike="noStrike">
                <a:solidFill>
                  <a:srgbClr val="000000"/>
                </a:solidFill>
                <a:uFillTx/>
                <a:latin typeface="Arial"/>
              </a:rPr>
              <a:t>Projet TEC-Tec / Autres émissions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D320"/>
            </a:solidFill>
            <a:ln w="0">
              <a:noFill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035-4154-A4AF-CF8AB2CD4DE7}"/>
              </c:ext>
            </c:extLst>
          </c:dPt>
          <c:dLbls>
            <c:dLbl>
              <c:idx val="3"/>
              <c:spPr/>
              <c:txPr>
                <a:bodyPr wrap="none"/>
                <a:lstStyle/>
                <a:p>
                  <a:pPr>
                    <a:defRPr lang="fr-FR" sz="1000" b="0" u="none" strike="noStrik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1035-4154-A4AF-CF8AB2CD4D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lang="fr-FR"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SYNTHESE!$B$52:$B$61</c:f>
              <c:strCache>
                <c:ptCount val="10"/>
                <c:pt idx="0">
                  <c:v>DÉPLACEMENTS</c:v>
                </c:pt>
                <c:pt idx="1">
                  <c:v>Habitants</c:v>
                </c:pt>
                <c:pt idx="2">
                  <c:v>Personnel</c:v>
                </c:pt>
                <c:pt idx="3">
                  <c:v>Élèves ou étudiants</c:v>
                </c:pt>
                <c:pt idx="4">
                  <c:v>Visiteurs</c:v>
                </c:pt>
                <c:pt idx="5">
                  <c:v>AUTRES SERVICES</c:v>
                </c:pt>
                <c:pt idx="6">
                  <c:v>Restauration</c:v>
                </c:pt>
                <c:pt idx="7">
                  <c:v>Activité commerciale</c:v>
                </c:pt>
                <c:pt idx="8">
                  <c:v>Adduction d’eau</c:v>
                </c:pt>
                <c:pt idx="9">
                  <c:v>Traitement des déchets</c:v>
                </c:pt>
              </c:strCache>
            </c:strRef>
          </c:cat>
          <c:val>
            <c:numRef>
              <c:f>SYNTHESE!$C$52:$C$61</c:f>
              <c:numCache>
                <c:formatCode>#\ ##0.0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35-4154-A4AF-CF8AB2CD4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19143"/>
        <c:axId val="61843522"/>
      </c:barChart>
      <c:catAx>
        <c:axId val="2019143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lang="fr-FR" sz="1000" b="0" u="none" strike="noStrike">
                <a:solidFill>
                  <a:srgbClr val="000000"/>
                </a:solidFill>
                <a:uFillTx/>
                <a:latin typeface="Arial"/>
              </a:defRPr>
            </a:pPr>
            <a:endParaRPr lang="fr-FR"/>
          </a:p>
        </c:txPr>
        <c:crossAx val="61843522"/>
        <c:crossesAt val="0"/>
        <c:auto val="1"/>
        <c:lblAlgn val="ctr"/>
        <c:lblOffset val="100"/>
        <c:noMultiLvlLbl val="0"/>
      </c:catAx>
      <c:valAx>
        <c:axId val="61843522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lang="fr-FR" sz="1300" b="0" u="none" strike="noStrike">
                    <a:uFillTx/>
                    <a:latin typeface="Arial"/>
                  </a:defRPr>
                </a:pPr>
                <a:r>
                  <a:rPr lang="fr-FR" sz="900" b="0" u="none" strike="noStrike">
                    <a:solidFill>
                      <a:srgbClr val="000000"/>
                    </a:solidFill>
                    <a:uFillTx/>
                    <a:latin typeface="Arial"/>
                  </a:rPr>
                  <a:t>tCO2e / an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lang="fr-FR" sz="1000" b="0" u="none" strike="noStrike">
                <a:solidFill>
                  <a:srgbClr val="000000"/>
                </a:solidFill>
                <a:uFillTx/>
                <a:latin typeface="Arial"/>
              </a:defRPr>
            </a:pPr>
            <a:endParaRPr lang="fr-FR"/>
          </a:p>
        </c:txPr>
        <c:crossAx val="2019143"/>
        <c:crossesAt val="1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lang="fr-FR" sz="1300" b="0" u="none" strike="noStrike">
                <a:uFillTx/>
                <a:latin typeface="Arial"/>
              </a:defRPr>
            </a:pPr>
            <a:r>
              <a:rPr lang="fr-FR" sz="1300" b="0" u="none" strike="noStrike">
                <a:solidFill>
                  <a:srgbClr val="000000"/>
                </a:solidFill>
                <a:uFillTx/>
                <a:latin typeface="Arial"/>
              </a:rPr>
              <a:t>Projet TEC-Tec / Emissions annualisées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SYNTHESE!$D$71</c:f>
              <c:strCache>
                <c:ptCount val="1"/>
              </c:strCache>
            </c:strRef>
          </c:tx>
          <c:spPr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lang="fr-FR"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80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SYNTHESE!$C$72:$C$97</c:f>
              <c:strCache>
                <c:ptCount val="22"/>
                <c:pt idx="1">
                  <c:v>0</c:v>
                </c:pt>
                <c:pt idx="6">
                  <c:v>5</c:v>
                </c:pt>
                <c:pt idx="11">
                  <c:v>10</c:v>
                </c:pt>
                <c:pt idx="16">
                  <c:v>15</c:v>
                </c:pt>
                <c:pt idx="21">
                  <c:v>20</c:v>
                </c:pt>
              </c:strCache>
            </c:strRef>
          </c:cat>
          <c:val>
            <c:numRef>
              <c:f>SYNTHESE!$D$72:$D$97</c:f>
              <c:numCache>
                <c:formatCode>#\ ##0\ _€;\-#\ ##0\ _€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EF-4EBA-9F07-70FB2412B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46244567"/>
        <c:axId val="18511230"/>
      </c:lineChart>
      <c:catAx>
        <c:axId val="4624456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lang="fr-FR" sz="1300" b="0" u="none" strike="noStrike">
                    <a:uFillTx/>
                    <a:latin typeface="Arial"/>
                  </a:defRPr>
                </a:pPr>
                <a:r>
                  <a:rPr lang="fr-FR" sz="900" b="0" u="none" strike="noStrike">
                    <a:solidFill>
                      <a:srgbClr val="000000"/>
                    </a:solidFill>
                    <a:uFillTx/>
                    <a:latin typeface="Arial"/>
                  </a:rPr>
                  <a:t>années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lang="fr-FR" sz="1000" b="0" u="none" strike="noStrike">
                <a:solidFill>
                  <a:srgbClr val="000000"/>
                </a:solidFill>
                <a:uFillTx/>
                <a:latin typeface="Arial"/>
              </a:defRPr>
            </a:pPr>
            <a:endParaRPr lang="fr-FR"/>
          </a:p>
        </c:txPr>
        <c:crossAx val="18511230"/>
        <c:crosses val="autoZero"/>
        <c:auto val="1"/>
        <c:lblAlgn val="ctr"/>
        <c:lblOffset val="100"/>
        <c:noMultiLvlLbl val="0"/>
      </c:catAx>
      <c:valAx>
        <c:axId val="18511230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lang="fr-FR" sz="1300" b="0" u="none" strike="noStrike">
                    <a:uFillTx/>
                    <a:latin typeface="Arial"/>
                  </a:defRPr>
                </a:pPr>
                <a:r>
                  <a:rPr lang="fr-FR" sz="900" b="0" u="none" strike="noStrike">
                    <a:solidFill>
                      <a:srgbClr val="000000"/>
                    </a:solidFill>
                    <a:uFillTx/>
                    <a:latin typeface="Arial"/>
                  </a:rPr>
                  <a:t>tCO2e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lang="fr-FR" sz="1000" b="0" u="none" strike="noStrike">
                <a:solidFill>
                  <a:srgbClr val="000000"/>
                </a:solidFill>
                <a:uFillTx/>
                <a:latin typeface="Arial"/>
              </a:defRPr>
            </a:pPr>
            <a:endParaRPr lang="fr-FR"/>
          </a:p>
        </c:txPr>
        <c:crossAx val="46244567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zero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lang="fr-FR" sz="1300" b="0" u="none" strike="noStrike">
                <a:uFillTx/>
                <a:latin typeface="Arial"/>
              </a:defRPr>
            </a:pPr>
            <a:r>
              <a:rPr lang="fr-FR" sz="1300" b="0" u="none" strike="noStrike">
                <a:solidFill>
                  <a:srgbClr val="000000"/>
                </a:solidFill>
                <a:uFillTx/>
                <a:latin typeface="Arial"/>
              </a:rPr>
              <a:t>Projet TEC-Tec / Emissions de construction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SYNTHESE!$C$7</c:f>
              <c:strCache>
                <c:ptCount val="1"/>
                <c:pt idx="0">
                  <c:v>tCO2e</c:v>
                </c:pt>
              </c:strCache>
            </c:strRef>
          </c:tx>
          <c:spPr>
            <a:solidFill>
              <a:srgbClr val="C0C0C0"/>
            </a:solidFill>
            <a:ln w="0">
              <a:noFill/>
            </a:ln>
          </c:spPr>
          <c:invertIfNegative val="0"/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AAA-48C7-ADC6-F7909201D571}"/>
              </c:ext>
            </c:extLst>
          </c:dPt>
          <c:dLbls>
            <c:dLbl>
              <c:idx val="6"/>
              <c:spPr/>
              <c:txPr>
                <a:bodyPr wrap="none"/>
                <a:lstStyle/>
                <a:p>
                  <a:pPr>
                    <a:defRPr lang="fr-FR" sz="1000" b="0" u="none" strike="noStrik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BAAA-48C7-ADC6-F7909201D5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lang="fr-FR"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SYNTHESE!$B$8:$B$14</c:f>
              <c:strCache>
                <c:ptCount val="7"/>
                <c:pt idx="0">
                  <c:v>Conception</c:v>
                </c:pt>
                <c:pt idx="1">
                  <c:v>Démolitions</c:v>
                </c:pt>
                <c:pt idx="2">
                  <c:v>Aménagements extérieurs</c:v>
                </c:pt>
                <c:pt idx="3">
                  <c:v>Structure</c:v>
                </c:pt>
                <c:pt idx="4">
                  <c:v>Clos couvert</c:v>
                </c:pt>
                <c:pt idx="5">
                  <c:v>Aménagements intérieurs</c:v>
                </c:pt>
                <c:pt idx="6">
                  <c:v>Équipements techniques</c:v>
                </c:pt>
              </c:strCache>
            </c:strRef>
          </c:cat>
          <c:val>
            <c:numRef>
              <c:f>SYNTHESE!$C$8:$C$14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AA-48C7-ADC6-F7909201D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8132189"/>
        <c:axId val="12870702"/>
      </c:barChart>
      <c:catAx>
        <c:axId val="88132189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lang="fr-FR" sz="1000" b="0" u="none" strike="noStrike">
                <a:solidFill>
                  <a:srgbClr val="000000"/>
                </a:solidFill>
                <a:uFillTx/>
                <a:latin typeface="Arial"/>
              </a:defRPr>
            </a:pPr>
            <a:endParaRPr lang="fr-FR"/>
          </a:p>
        </c:txPr>
        <c:crossAx val="12870702"/>
        <c:crossesAt val="0"/>
        <c:auto val="1"/>
        <c:lblAlgn val="ctr"/>
        <c:lblOffset val="100"/>
        <c:noMultiLvlLbl val="0"/>
      </c:catAx>
      <c:valAx>
        <c:axId val="12870702"/>
        <c:scaling>
          <c:orientation val="minMax"/>
        </c:scaling>
        <c:delete val="0"/>
        <c:axPos val="t"/>
        <c:majorGridlines>
          <c:spPr>
            <a:ln w="0">
              <a:solidFill>
                <a:srgbClr val="B3B3B3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lang="fr-FR" sz="1000" b="0" u="none" strike="noStrike">
                <a:solidFill>
                  <a:srgbClr val="000000"/>
                </a:solidFill>
                <a:uFillTx/>
                <a:latin typeface="Arial"/>
              </a:defRPr>
            </a:pPr>
            <a:endParaRPr lang="fr-FR"/>
          </a:p>
        </c:txPr>
        <c:crossAx val="88132189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lang="fr-FR" sz="1000" b="0" u="none" strike="noStrike">
              <a:solidFill>
                <a:srgbClr val="000000"/>
              </a:solidFill>
              <a:uFillTx/>
              <a:latin typeface="Arial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lang="fr-FR" sz="1300" b="0" u="none" strike="noStrike">
                <a:uFillTx/>
                <a:latin typeface="Arial"/>
              </a:defRPr>
            </a:pPr>
            <a:r>
              <a:rPr lang="fr-FR" sz="1300" b="0" u="none" strike="noStrike">
                <a:solidFill>
                  <a:srgbClr val="000000"/>
                </a:solidFill>
                <a:uFillTx/>
                <a:latin typeface="Arial"/>
              </a:rPr>
              <a:t>Projet TEC-Tec / Emissions de l'énergie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SYNTHESE!$C$25</c:f>
              <c:strCache>
                <c:ptCount val="1"/>
                <c:pt idx="0">
                  <c:v>tCO2e / an</c:v>
                </c:pt>
              </c:strCache>
            </c:strRef>
          </c:tx>
          <c:spPr>
            <a:solidFill>
              <a:srgbClr val="CFE7F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lang="fr-FR"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SYNTHESE!$B$26:$B$40</c:f>
              <c:strCache>
                <c:ptCount val="15"/>
                <c:pt idx="0">
                  <c:v>Consommations initiales</c:v>
                </c:pt>
                <c:pt idx="1">
                  <c:v>Chauffage</c:v>
                </c:pt>
                <c:pt idx="2">
                  <c:v>Rafraîchissement</c:v>
                </c:pt>
                <c:pt idx="3">
                  <c:v>Éclairage intérieur</c:v>
                </c:pt>
                <c:pt idx="4">
                  <c:v>Éclairage extérieur</c:v>
                </c:pt>
                <c:pt idx="5">
                  <c:v>Traitement d’air</c:v>
                </c:pt>
                <c:pt idx="6">
                  <c:v>Forces motrices</c:v>
                </c:pt>
                <c:pt idx="7">
                  <c:v>Cuisine</c:v>
                </c:pt>
                <c:pt idx="8">
                  <c:v>Prises de courant</c:v>
                </c:pt>
                <c:pt idx="9">
                  <c:v>Eau chaude sanitaire</c:v>
                </c:pt>
                <c:pt idx="10">
                  <c:v>Froid commercial</c:v>
                </c:pt>
                <c:pt idx="11">
                  <c:v>Piscine</c:v>
                </c:pt>
                <c:pt idx="12">
                  <c:v>Véhicules électriques</c:v>
                </c:pt>
                <c:pt idx="13">
                  <c:v>Production d’électricité</c:v>
                </c:pt>
                <c:pt idx="14">
                  <c:v>Commissionnement</c:v>
                </c:pt>
              </c:strCache>
            </c:strRef>
          </c:cat>
          <c:val>
            <c:numRef>
              <c:f>SYNTHESE!$C$26:$C$40</c:f>
              <c:numCache>
                <c:formatCode>#\ ##0.0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07-4FBB-8E2C-5FE099E38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3074344"/>
        <c:axId val="12200253"/>
      </c:barChart>
      <c:catAx>
        <c:axId val="6307434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lang="fr-FR" sz="1000" b="0" u="none" strike="noStrike">
                <a:solidFill>
                  <a:srgbClr val="000000"/>
                </a:solidFill>
                <a:uFillTx/>
                <a:latin typeface="Arial"/>
              </a:defRPr>
            </a:pPr>
            <a:endParaRPr lang="fr-FR"/>
          </a:p>
        </c:txPr>
        <c:crossAx val="12200253"/>
        <c:crossesAt val="0"/>
        <c:auto val="1"/>
        <c:lblAlgn val="ctr"/>
        <c:lblOffset val="100"/>
        <c:noMultiLvlLbl val="0"/>
      </c:catAx>
      <c:valAx>
        <c:axId val="12200253"/>
        <c:scaling>
          <c:orientation val="minMax"/>
        </c:scaling>
        <c:delete val="0"/>
        <c:axPos val="t"/>
        <c:majorGridlines>
          <c:spPr>
            <a:ln w="0">
              <a:solidFill>
                <a:srgbClr val="B3B3B3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lang="fr-FR" sz="1000" b="0" u="none" strike="noStrike">
                <a:solidFill>
                  <a:srgbClr val="000000"/>
                </a:solidFill>
                <a:uFillTx/>
                <a:latin typeface="Arial"/>
              </a:defRPr>
            </a:pPr>
            <a:endParaRPr lang="fr-FR"/>
          </a:p>
        </c:txPr>
        <c:crossAx val="63074344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lang="fr-FR" sz="1000" b="0" u="none" strike="noStrike">
              <a:solidFill>
                <a:srgbClr val="000000"/>
              </a:solidFill>
              <a:uFillTx/>
              <a:latin typeface="Arial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3.xml"/><Relationship Id="rId5" Type="http://schemas.openxmlformats.org/officeDocument/2006/relationships/image" Target="../media/image4.png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4.xml"/><Relationship Id="rId7" Type="http://schemas.openxmlformats.org/officeDocument/2006/relationships/image" Target="../media/image5.png"/><Relationship Id="rId12" Type="http://schemas.openxmlformats.org/officeDocument/2006/relationships/chart" Target="../charts/chart12.xml"/><Relationship Id="rId2" Type="http://schemas.openxmlformats.org/officeDocument/2006/relationships/image" Target="../media/image1.jpeg"/><Relationship Id="rId1" Type="http://schemas.openxmlformats.org/officeDocument/2006/relationships/image" Target="../media/image3.jpeg"/><Relationship Id="rId6" Type="http://schemas.openxmlformats.org/officeDocument/2006/relationships/chart" Target="../charts/chart7.xml"/><Relationship Id="rId11" Type="http://schemas.openxmlformats.org/officeDocument/2006/relationships/chart" Target="../charts/chart11.xml"/><Relationship Id="rId5" Type="http://schemas.openxmlformats.org/officeDocument/2006/relationships/chart" Target="../charts/chart6.xml"/><Relationship Id="rId10" Type="http://schemas.openxmlformats.org/officeDocument/2006/relationships/chart" Target="../charts/chart10.xml"/><Relationship Id="rId4" Type="http://schemas.openxmlformats.org/officeDocument/2006/relationships/chart" Target="../charts/chart5.xml"/><Relationship Id="rId9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5" Type="http://schemas.openxmlformats.org/officeDocument/2006/relationships/image" Target="../media/image5.png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1047004</xdr:colOff>
      <xdr:row>39</xdr:row>
      <xdr:rowOff>12004</xdr:rowOff>
    </xdr:from>
    <xdr:to>
      <xdr:col>5</xdr:col>
      <xdr:colOff>1557618</xdr:colOff>
      <xdr:row>45</xdr:row>
      <xdr:rowOff>137076</xdr:rowOff>
    </xdr:to>
    <xdr:pic>
      <xdr:nvPicPr>
        <xdr:cNvPr id="6" name="Imag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482357" y="7676828"/>
          <a:ext cx="510614" cy="1402542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916986</xdr:colOff>
      <xdr:row>28</xdr:row>
      <xdr:rowOff>168011</xdr:rowOff>
    </xdr:from>
    <xdr:to>
      <xdr:col>6</xdr:col>
      <xdr:colOff>1115915</xdr:colOff>
      <xdr:row>46</xdr:row>
      <xdr:rowOff>199379</xdr:rowOff>
    </xdr:to>
    <xdr:graphicFrame macro="">
      <xdr:nvGraphicFramePr>
        <xdr:cNvPr id="5" name="Graphiqu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1232195</xdr:colOff>
      <xdr:row>35</xdr:row>
      <xdr:rowOff>56029</xdr:rowOff>
    </xdr:from>
    <xdr:to>
      <xdr:col>6</xdr:col>
      <xdr:colOff>1734395</xdr:colOff>
      <xdr:row>45</xdr:row>
      <xdr:rowOff>148234</xdr:rowOff>
    </xdr:to>
    <xdr:pic>
      <xdr:nvPicPr>
        <xdr:cNvPr id="2" name="Image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 rot="16200000">
          <a:off x="11399221" y="7739973"/>
          <a:ext cx="2198911" cy="50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11</xdr:col>
      <xdr:colOff>83520</xdr:colOff>
      <xdr:row>16</xdr:row>
      <xdr:rowOff>43920</xdr:rowOff>
    </xdr:from>
    <xdr:to>
      <xdr:col>11</xdr:col>
      <xdr:colOff>2194920</xdr:colOff>
      <xdr:row>17</xdr:row>
      <xdr:rowOff>121680</xdr:rowOff>
    </xdr:to>
    <xdr:graphicFrame macro="">
      <xdr:nvGraphicFramePr>
        <xdr:cNvPr id="3" name="Graphiqu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9</xdr:col>
      <xdr:colOff>1080</xdr:colOff>
      <xdr:row>2</xdr:row>
      <xdr:rowOff>19800</xdr:rowOff>
    </xdr:from>
    <xdr:to>
      <xdr:col>10</xdr:col>
      <xdr:colOff>4320</xdr:colOff>
      <xdr:row>25</xdr:row>
      <xdr:rowOff>142920</xdr:rowOff>
    </xdr:to>
    <xdr:pic>
      <xdr:nvPicPr>
        <xdr:cNvPr id="4" name="Image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3632120" y="631800"/>
          <a:ext cx="4685040" cy="4399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206216</xdr:colOff>
      <xdr:row>28</xdr:row>
      <xdr:rowOff>172735</xdr:rowOff>
    </xdr:from>
    <xdr:to>
      <xdr:col>8</xdr:col>
      <xdr:colOff>185336</xdr:colOff>
      <xdr:row>46</xdr:row>
      <xdr:rowOff>195729</xdr:rowOff>
    </xdr:to>
    <xdr:graphicFrame macro="">
      <xdr:nvGraphicFramePr>
        <xdr:cNvPr id="7" name="Graphique 3">
          <a:extLst>
            <a:ext uri="{FF2B5EF4-FFF2-40B4-BE49-F238E27FC236}">
              <a16:creationId xmlns:a16="http://schemas.microsoft.com/office/drawing/2014/main" id="{6915AA85-964E-4DCF-8DD6-9AC9E6E05D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294480</xdr:colOff>
      <xdr:row>0</xdr:row>
      <xdr:rowOff>69120</xdr:rowOff>
    </xdr:from>
    <xdr:to>
      <xdr:col>0</xdr:col>
      <xdr:colOff>1243080</xdr:colOff>
      <xdr:row>3</xdr:row>
      <xdr:rowOff>246060</xdr:rowOff>
    </xdr:to>
    <xdr:pic>
      <xdr:nvPicPr>
        <xdr:cNvPr id="5" name="Imag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/>
        <a:srcRect l="24544" t="17478" r="29508" b="13821"/>
        <a:stretch/>
      </xdr:blipFill>
      <xdr:spPr>
        <a:xfrm>
          <a:off x="294480" y="69120"/>
          <a:ext cx="948600" cy="938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491291</xdr:colOff>
      <xdr:row>32</xdr:row>
      <xdr:rowOff>50132</xdr:rowOff>
    </xdr:from>
    <xdr:to>
      <xdr:col>18</xdr:col>
      <xdr:colOff>281622</xdr:colOff>
      <xdr:row>46</xdr:row>
      <xdr:rowOff>15754</xdr:rowOff>
    </xdr:to>
    <xdr:pic>
      <xdr:nvPicPr>
        <xdr:cNvPr id="22" name="Image 11">
          <a:extLst>
            <a:ext uri="{FF2B5EF4-FFF2-40B4-BE49-F238E27FC236}">
              <a16:creationId xmlns:a16="http://schemas.microsoft.com/office/drawing/2014/main" id="{9CA015FB-3658-4E47-9A49-AB90C7D8E76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6200000">
          <a:off x="14415421" y="6659896"/>
          <a:ext cx="2211517" cy="50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15</xdr:col>
      <xdr:colOff>473242</xdr:colOff>
      <xdr:row>32</xdr:row>
      <xdr:rowOff>52138</xdr:rowOff>
    </xdr:from>
    <xdr:to>
      <xdr:col>16</xdr:col>
      <xdr:colOff>263573</xdr:colOff>
      <xdr:row>46</xdr:row>
      <xdr:rowOff>17760</xdr:rowOff>
    </xdr:to>
    <xdr:pic>
      <xdr:nvPicPr>
        <xdr:cNvPr id="25" name="Image 11">
          <a:extLst>
            <a:ext uri="{FF2B5EF4-FFF2-40B4-BE49-F238E27FC236}">
              <a16:creationId xmlns:a16="http://schemas.microsoft.com/office/drawing/2014/main" id="{825CE587-7FB2-414C-A844-B725FBFFFAE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6200000">
          <a:off x="12973636" y="6661902"/>
          <a:ext cx="2211517" cy="502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11</xdr:col>
      <xdr:colOff>451184</xdr:colOff>
      <xdr:row>37</xdr:row>
      <xdr:rowOff>60155</xdr:rowOff>
    </xdr:from>
    <xdr:to>
      <xdr:col>12</xdr:col>
      <xdr:colOff>249930</xdr:colOff>
      <xdr:row>46</xdr:row>
      <xdr:rowOff>16322</xdr:rowOff>
    </xdr:to>
    <xdr:pic>
      <xdr:nvPicPr>
        <xdr:cNvPr id="23" name="Image 2">
          <a:extLst>
            <a:ext uri="{FF2B5EF4-FFF2-40B4-BE49-F238E27FC236}">
              <a16:creationId xmlns:a16="http://schemas.microsoft.com/office/drawing/2014/main" id="{F5504E66-F404-4C21-85DD-301D9FAA7F51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958763" y="6617366"/>
          <a:ext cx="510614" cy="1399956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433136</xdr:colOff>
      <xdr:row>37</xdr:row>
      <xdr:rowOff>62164</xdr:rowOff>
    </xdr:from>
    <xdr:to>
      <xdr:col>14</xdr:col>
      <xdr:colOff>231882</xdr:colOff>
      <xdr:row>46</xdr:row>
      <xdr:rowOff>18331</xdr:rowOff>
    </xdr:to>
    <xdr:pic>
      <xdr:nvPicPr>
        <xdr:cNvPr id="24" name="Image 2">
          <a:extLst>
            <a:ext uri="{FF2B5EF4-FFF2-40B4-BE49-F238E27FC236}">
              <a16:creationId xmlns:a16="http://schemas.microsoft.com/office/drawing/2014/main" id="{5F858F86-84BF-4E78-B5F7-E59CFAE27456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364452" y="6619375"/>
          <a:ext cx="510614" cy="1399956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120316</xdr:colOff>
      <xdr:row>25</xdr:row>
      <xdr:rowOff>10043</xdr:rowOff>
    </xdr:from>
    <xdr:to>
      <xdr:col>13</xdr:col>
      <xdr:colOff>690362</xdr:colOff>
      <xdr:row>47</xdr:row>
      <xdr:rowOff>140999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C11A7FED-DFA4-416E-BCC8-43E2DAA6D7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450000</xdr:colOff>
      <xdr:row>6</xdr:row>
      <xdr:rowOff>34560</xdr:rowOff>
    </xdr:from>
    <xdr:to>
      <xdr:col>18</xdr:col>
      <xdr:colOff>140368</xdr:colOff>
      <xdr:row>23</xdr:row>
      <xdr:rowOff>104040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165600</xdr:colOff>
      <xdr:row>47</xdr:row>
      <xdr:rowOff>47880</xdr:rowOff>
    </xdr:from>
    <xdr:to>
      <xdr:col>9</xdr:col>
      <xdr:colOff>340560</xdr:colOff>
      <xdr:row>69</xdr:row>
      <xdr:rowOff>83359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3</xdr:col>
      <xdr:colOff>1536120</xdr:colOff>
      <xdr:row>71</xdr:row>
      <xdr:rowOff>98280</xdr:rowOff>
    </xdr:from>
    <xdr:to>
      <xdr:col>12</xdr:col>
      <xdr:colOff>672840</xdr:colOff>
      <xdr:row>95</xdr:row>
      <xdr:rowOff>115200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117720</xdr:colOff>
      <xdr:row>0</xdr:row>
      <xdr:rowOff>111600</xdr:rowOff>
    </xdr:from>
    <xdr:to>
      <xdr:col>1</xdr:col>
      <xdr:colOff>1066320</xdr:colOff>
      <xdr:row>4</xdr:row>
      <xdr:rowOff>202320</xdr:rowOff>
    </xdr:to>
    <xdr:pic>
      <xdr:nvPicPr>
        <xdr:cNvPr id="12" name="Image 1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7"/>
        <a:srcRect l="24544" t="17478" r="29508" b="13821"/>
        <a:stretch/>
      </xdr:blipFill>
      <xdr:spPr>
        <a:xfrm>
          <a:off x="1275480" y="111600"/>
          <a:ext cx="948600" cy="928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966240</xdr:colOff>
      <xdr:row>5</xdr:row>
      <xdr:rowOff>57240</xdr:rowOff>
    </xdr:from>
    <xdr:to>
      <xdr:col>9</xdr:col>
      <xdr:colOff>60480</xdr:colOff>
      <xdr:row>21</xdr:row>
      <xdr:rowOff>113760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2</xdr:col>
      <xdr:colOff>1063080</xdr:colOff>
      <xdr:row>22</xdr:row>
      <xdr:rowOff>105120</xdr:rowOff>
    </xdr:from>
    <xdr:to>
      <xdr:col>9</xdr:col>
      <xdr:colOff>157320</xdr:colOff>
      <xdr:row>47</xdr:row>
      <xdr:rowOff>104454</xdr:rowOff>
    </xdr:to>
    <xdr:graphicFrame macro="">
      <xdr:nvGraphicFramePr>
        <xdr:cNvPr id="14" name="Graphiqu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14</xdr:col>
      <xdr:colOff>140369</xdr:colOff>
      <xdr:row>25</xdr:row>
      <xdr:rowOff>10043</xdr:rowOff>
    </xdr:from>
    <xdr:to>
      <xdr:col>17</xdr:col>
      <xdr:colOff>698509</xdr:colOff>
      <xdr:row>47</xdr:row>
      <xdr:rowOff>130794</xdr:rowOff>
    </xdr:to>
    <xdr:graphicFrame macro="">
      <xdr:nvGraphicFramePr>
        <xdr:cNvPr id="3" name="Graphique 3">
          <a:extLst>
            <a:ext uri="{FF2B5EF4-FFF2-40B4-BE49-F238E27FC236}">
              <a16:creationId xmlns:a16="http://schemas.microsoft.com/office/drawing/2014/main" id="{FE34B4A0-6578-4EEE-AF9C-997E500D7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12</xdr:col>
      <xdr:colOff>100264</xdr:colOff>
      <xdr:row>25</xdr:row>
      <xdr:rowOff>10042</xdr:rowOff>
    </xdr:from>
    <xdr:to>
      <xdr:col>15</xdr:col>
      <xdr:colOff>670311</xdr:colOff>
      <xdr:row>47</xdr:row>
      <xdr:rowOff>140998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687BD52E-9F85-4681-B209-4DB79C8A37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16</xdr:col>
      <xdr:colOff>170447</xdr:colOff>
      <xdr:row>25</xdr:row>
      <xdr:rowOff>10043</xdr:rowOff>
    </xdr:from>
    <xdr:to>
      <xdr:col>20</xdr:col>
      <xdr:colOff>16718</xdr:colOff>
      <xdr:row>47</xdr:row>
      <xdr:rowOff>130794</xdr:rowOff>
    </xdr:to>
    <xdr:graphicFrame macro="">
      <xdr:nvGraphicFramePr>
        <xdr:cNvPr id="5" name="Graphique 3">
          <a:extLst>
            <a:ext uri="{FF2B5EF4-FFF2-40B4-BE49-F238E27FC236}">
              <a16:creationId xmlns:a16="http://schemas.microsoft.com/office/drawing/2014/main" id="{230365B1-60D1-4328-BFFD-34117E0372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707760</xdr:colOff>
      <xdr:row>5</xdr:row>
      <xdr:rowOff>54000</xdr:rowOff>
    </xdr:from>
    <xdr:to>
      <xdr:col>13</xdr:col>
      <xdr:colOff>100080</xdr:colOff>
      <xdr:row>28</xdr:row>
      <xdr:rowOff>2160</xdr:rowOff>
    </xdr:to>
    <xdr:graphicFrame macro="">
      <xdr:nvGraphicFramePr>
        <xdr:cNvPr id="22" name="Graphique 18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555840</xdr:colOff>
      <xdr:row>11</xdr:row>
      <xdr:rowOff>76320</xdr:rowOff>
    </xdr:from>
    <xdr:to>
      <xdr:col>22</xdr:col>
      <xdr:colOff>267840</xdr:colOff>
      <xdr:row>53</xdr:row>
      <xdr:rowOff>1800</xdr:rowOff>
    </xdr:to>
    <xdr:graphicFrame macro="">
      <xdr:nvGraphicFramePr>
        <xdr:cNvPr id="23" name="Graphique 19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137160</xdr:colOff>
      <xdr:row>36</xdr:row>
      <xdr:rowOff>152640</xdr:rowOff>
    </xdr:from>
    <xdr:to>
      <xdr:col>13</xdr:col>
      <xdr:colOff>567000</xdr:colOff>
      <xdr:row>69</xdr:row>
      <xdr:rowOff>1080</xdr:rowOff>
    </xdr:to>
    <xdr:graphicFrame macro="">
      <xdr:nvGraphicFramePr>
        <xdr:cNvPr id="24" name="Graphique 20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0</xdr:colOff>
      <xdr:row>70</xdr:row>
      <xdr:rowOff>136440</xdr:rowOff>
    </xdr:from>
    <xdr:to>
      <xdr:col>16</xdr:col>
      <xdr:colOff>166680</xdr:colOff>
      <xdr:row>94</xdr:row>
      <xdr:rowOff>140760</xdr:rowOff>
    </xdr:to>
    <xdr:graphicFrame macro="">
      <xdr:nvGraphicFramePr>
        <xdr:cNvPr id="25" name="Graphique 2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117720</xdr:colOff>
      <xdr:row>0</xdr:row>
      <xdr:rowOff>111600</xdr:rowOff>
    </xdr:from>
    <xdr:to>
      <xdr:col>1</xdr:col>
      <xdr:colOff>1066320</xdr:colOff>
      <xdr:row>4</xdr:row>
      <xdr:rowOff>94320</xdr:rowOff>
    </xdr:to>
    <xdr:pic>
      <xdr:nvPicPr>
        <xdr:cNvPr id="26" name="Image 13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/>
      </xdr:nvPicPr>
      <xdr:blipFill>
        <a:blip xmlns:r="http://schemas.openxmlformats.org/officeDocument/2006/relationships" r:embed="rId5"/>
        <a:srcRect l="24544" t="17478" r="29508" b="13821"/>
        <a:stretch/>
      </xdr:blipFill>
      <xdr:spPr>
        <a:xfrm>
          <a:off x="1275480" y="111600"/>
          <a:ext cx="948600" cy="925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showGridLines="0" tabSelected="1" zoomScale="70" zoomScaleNormal="70" workbookViewId="0">
      <selection activeCell="C4" sqref="C4:D4"/>
    </sheetView>
  </sheetViews>
  <sheetFormatPr baseColWidth="10" defaultColWidth="10.7109375" defaultRowHeight="12.75" customHeight="1" x14ac:dyDescent="0.2"/>
  <cols>
    <col min="1" max="1" width="27" style="6" customWidth="1"/>
    <col min="2" max="2" width="61.5703125" style="6" customWidth="1"/>
    <col min="3" max="4" width="20" style="6" customWidth="1"/>
    <col min="5" max="5" width="13.85546875" style="6" customWidth="1"/>
    <col min="6" max="6" width="23.7109375" style="6" customWidth="1"/>
    <col min="7" max="7" width="27.5703125" style="6" customWidth="1"/>
    <col min="8" max="8" width="13.28515625" style="6" customWidth="1"/>
    <col min="9" max="9" width="16" style="6" customWidth="1"/>
    <col min="10" max="10" width="66.42578125" style="6" customWidth="1"/>
    <col min="11" max="11" width="18" style="6" customWidth="1"/>
    <col min="12" max="12" width="40.7109375" style="6" customWidth="1"/>
    <col min="13" max="16384" width="10.7109375" style="6"/>
  </cols>
  <sheetData>
    <row r="1" spans="1:12" s="12" customFormat="1" ht="28.5" customHeight="1" x14ac:dyDescent="0.2">
      <c r="A1" s="7"/>
      <c r="B1" s="8" t="s">
        <v>0</v>
      </c>
      <c r="C1" s="9"/>
      <c r="D1" s="9"/>
      <c r="E1" s="10"/>
      <c r="F1" s="10"/>
      <c r="G1" s="10"/>
      <c r="H1" s="9"/>
      <c r="I1" s="9"/>
      <c r="J1" s="10"/>
      <c r="K1" s="11"/>
    </row>
    <row r="2" spans="1:12" ht="20.25" x14ac:dyDescent="0.2">
      <c r="A2" s="13"/>
      <c r="B2" s="14" t="s">
        <v>1</v>
      </c>
      <c r="C2" s="15" t="s">
        <v>2</v>
      </c>
      <c r="D2" s="16"/>
      <c r="E2" s="17"/>
      <c r="F2" s="17"/>
      <c r="G2" s="17"/>
      <c r="H2" s="16"/>
      <c r="I2" s="18"/>
      <c r="J2" s="19"/>
      <c r="K2" s="20"/>
      <c r="L2" s="21"/>
    </row>
    <row r="3" spans="1:12" ht="7.5" customHeight="1" x14ac:dyDescent="0.2">
      <c r="A3" s="13"/>
      <c r="B3" s="22"/>
      <c r="C3" s="18"/>
      <c r="D3" s="18"/>
      <c r="E3" s="19"/>
      <c r="F3" s="19"/>
      <c r="G3" s="19"/>
      <c r="H3" s="18"/>
      <c r="I3" s="18"/>
      <c r="J3" s="19"/>
      <c r="K3" s="20"/>
      <c r="L3" s="21"/>
    </row>
    <row r="4" spans="1:12" ht="15" customHeight="1" x14ac:dyDescent="0.2">
      <c r="A4" s="23"/>
      <c r="B4" s="24" t="s">
        <v>3</v>
      </c>
      <c r="C4" s="682" t="s">
        <v>4</v>
      </c>
      <c r="D4" s="682"/>
      <c r="E4" s="25"/>
      <c r="F4" s="19"/>
      <c r="G4" s="19"/>
      <c r="H4" s="18"/>
      <c r="I4" s="18"/>
      <c r="J4" s="26"/>
      <c r="K4" s="27"/>
      <c r="L4" s="21"/>
    </row>
    <row r="5" spans="1:12" ht="15" customHeight="1" x14ac:dyDescent="0.2">
      <c r="A5" s="28"/>
      <c r="B5" s="29"/>
      <c r="C5" s="29"/>
      <c r="D5" s="29"/>
      <c r="E5" s="30"/>
      <c r="F5" s="19"/>
      <c r="G5" s="19"/>
      <c r="H5" s="18"/>
      <c r="I5" s="18"/>
      <c r="J5" s="26"/>
      <c r="K5" s="31"/>
      <c r="L5" s="21"/>
    </row>
    <row r="6" spans="1:12" ht="15" customHeight="1" x14ac:dyDescent="0.2">
      <c r="A6" s="32"/>
      <c r="B6" s="24" t="s">
        <v>5</v>
      </c>
      <c r="C6" s="683" t="s">
        <v>42</v>
      </c>
      <c r="D6" s="683"/>
      <c r="E6" s="33">
        <f>IF(C$6='Data-Liste'!B2,0,IF(C$6='Data-Liste'!B4,0,1))</f>
        <v>0</v>
      </c>
      <c r="F6" s="34" t="s">
        <v>7</v>
      </c>
      <c r="G6" s="19"/>
      <c r="H6" s="18"/>
      <c r="I6" s="18"/>
      <c r="J6" s="26"/>
      <c r="K6" s="31"/>
      <c r="L6" s="21"/>
    </row>
    <row r="7" spans="1:12" ht="15" customHeight="1" x14ac:dyDescent="0.2">
      <c r="A7" s="32"/>
      <c r="B7" s="24" t="s">
        <v>8</v>
      </c>
      <c r="C7" s="684" t="s">
        <v>42</v>
      </c>
      <c r="D7" s="684"/>
      <c r="E7" s="33">
        <f>IF(C$6='Data-Liste'!B2,0,IF(C$6='Data-Liste'!B3,0,1))</f>
        <v>0</v>
      </c>
      <c r="F7" s="34" t="s">
        <v>10</v>
      </c>
      <c r="G7" s="19"/>
      <c r="H7" s="18"/>
      <c r="I7" s="18"/>
      <c r="J7" s="26"/>
      <c r="K7" s="31"/>
      <c r="L7" s="21"/>
    </row>
    <row r="8" spans="1:12" ht="15" customHeight="1" x14ac:dyDescent="0.2">
      <c r="A8" s="28"/>
      <c r="B8" s="24" t="s">
        <v>11</v>
      </c>
      <c r="C8" s="683" t="s">
        <v>42</v>
      </c>
      <c r="D8" s="683"/>
      <c r="E8" s="33">
        <f>IF(C$8='Data-Liste'!A2,0,IF(C$8='Data-Liste'!A4,0,1))</f>
        <v>0</v>
      </c>
      <c r="F8" s="34" t="s">
        <v>12</v>
      </c>
      <c r="G8" s="19"/>
      <c r="H8" s="18"/>
      <c r="I8" s="18"/>
      <c r="J8" s="26"/>
      <c r="K8" s="31"/>
      <c r="L8" s="35"/>
    </row>
    <row r="9" spans="1:12" ht="15" customHeight="1" x14ac:dyDescent="0.2">
      <c r="A9" s="28"/>
      <c r="B9" s="24" t="s">
        <v>13</v>
      </c>
      <c r="C9" s="683" t="s">
        <v>14</v>
      </c>
      <c r="D9" s="683"/>
      <c r="E9" s="33">
        <f>IF(C$8='Data-Liste'!A2,0,IF(C$8='Data-Liste'!A3,0,1))</f>
        <v>0</v>
      </c>
      <c r="F9" s="34" t="s">
        <v>15</v>
      </c>
      <c r="G9" s="19"/>
      <c r="H9" s="18"/>
      <c r="I9" s="18"/>
      <c r="J9" s="26"/>
      <c r="K9" s="36"/>
      <c r="L9" s="35"/>
    </row>
    <row r="10" spans="1:12" ht="15" customHeight="1" x14ac:dyDescent="0.2">
      <c r="A10" s="28"/>
      <c r="B10" s="24" t="s">
        <v>16</v>
      </c>
      <c r="C10" s="683" t="s">
        <v>17</v>
      </c>
      <c r="D10" s="683"/>
      <c r="E10" s="33">
        <f>IF(C$7='Data-Liste'!C2,0,IF(C$7='Data-Liste'!C3,0,1))</f>
        <v>0</v>
      </c>
      <c r="F10" s="34" t="s">
        <v>8</v>
      </c>
      <c r="G10" s="37">
        <f>IF(C$7='Data-Liste'!C5,1,0)</f>
        <v>0</v>
      </c>
      <c r="H10" s="18"/>
      <c r="I10" s="18"/>
      <c r="J10" s="26"/>
      <c r="K10" s="36"/>
      <c r="L10" s="35"/>
    </row>
    <row r="11" spans="1:12" ht="9.9499999999999993" customHeight="1" x14ac:dyDescent="0.2">
      <c r="A11" s="28"/>
      <c r="B11" s="24"/>
      <c r="C11" s="38"/>
      <c r="D11" s="38"/>
      <c r="E11" s="33">
        <f>E9*IF(C$10=F$11,1,0)</f>
        <v>0</v>
      </c>
      <c r="F11" s="34" t="str">
        <f>'Data-Liste'!F3</f>
        <v>Bureaux</v>
      </c>
      <c r="G11" s="19"/>
      <c r="H11" s="18"/>
      <c r="I11" s="18"/>
      <c r="J11" s="26"/>
      <c r="K11" s="39"/>
      <c r="L11" s="35"/>
    </row>
    <row r="12" spans="1:12" ht="20.25" x14ac:dyDescent="0.2">
      <c r="A12" s="28"/>
      <c r="B12" s="14" t="s">
        <v>18</v>
      </c>
      <c r="C12" s="15" t="s">
        <v>19</v>
      </c>
      <c r="D12" s="40"/>
      <c r="E12" s="41"/>
      <c r="F12" s="42"/>
      <c r="G12" s="17"/>
      <c r="H12" s="16"/>
      <c r="I12" s="18"/>
      <c r="J12" s="26"/>
      <c r="K12" s="39"/>
      <c r="L12" s="35"/>
    </row>
    <row r="13" spans="1:12" ht="16.5" x14ac:dyDescent="0.2">
      <c r="A13" s="28"/>
      <c r="B13" s="43"/>
      <c r="C13" s="44"/>
      <c r="D13" s="44"/>
      <c r="E13" s="45"/>
      <c r="F13" s="19"/>
      <c r="G13" s="46" t="s">
        <v>20</v>
      </c>
      <c r="H13" s="47" t="s">
        <v>21</v>
      </c>
      <c r="I13" s="47"/>
      <c r="J13" s="26"/>
      <c r="K13" s="48" t="s">
        <v>22</v>
      </c>
      <c r="L13" s="49" t="s">
        <v>23</v>
      </c>
    </row>
    <row r="14" spans="1:12" ht="15" customHeight="1" x14ac:dyDescent="0.2">
      <c r="A14" s="28"/>
      <c r="B14" s="24"/>
      <c r="C14" s="38"/>
      <c r="D14" s="50" t="s">
        <v>24</v>
      </c>
      <c r="E14" s="38"/>
      <c r="F14" s="24" t="s">
        <v>25</v>
      </c>
      <c r="G14" s="51">
        <v>0</v>
      </c>
      <c r="H14" s="52">
        <f>G14*K14</f>
        <v>0</v>
      </c>
      <c r="I14" s="52"/>
      <c r="J14" s="26"/>
      <c r="K14" s="53">
        <v>39.700000000000003</v>
      </c>
      <c r="L14" s="54">
        <f>G14*1</f>
        <v>0</v>
      </c>
    </row>
    <row r="15" spans="1:12" ht="15" customHeight="1" x14ac:dyDescent="0.2">
      <c r="A15" s="28"/>
      <c r="B15" s="24" t="s">
        <v>26</v>
      </c>
      <c r="C15" s="38"/>
      <c r="D15" s="55">
        <v>0</v>
      </c>
      <c r="E15" s="38"/>
      <c r="F15" s="24" t="s">
        <v>27</v>
      </c>
      <c r="G15" s="56">
        <v>0</v>
      </c>
      <c r="H15" s="52">
        <f>G15*K15</f>
        <v>0</v>
      </c>
      <c r="I15" s="52"/>
      <c r="J15" s="26"/>
      <c r="K15" s="53">
        <v>56.4</v>
      </c>
      <c r="L15" s="54">
        <f>G15*1.5</f>
        <v>0</v>
      </c>
    </row>
    <row r="16" spans="1:12" ht="15" customHeight="1" x14ac:dyDescent="0.2">
      <c r="A16" s="28"/>
      <c r="B16" s="24" t="s">
        <v>28</v>
      </c>
      <c r="C16" s="38"/>
      <c r="D16" s="55">
        <v>0</v>
      </c>
      <c r="E16" s="38"/>
      <c r="F16" s="24" t="s">
        <v>29</v>
      </c>
      <c r="G16" s="56">
        <v>0</v>
      </c>
      <c r="H16" s="52">
        <f>G16*K16</f>
        <v>0</v>
      </c>
      <c r="I16" s="52"/>
      <c r="J16" s="26"/>
      <c r="K16" s="53">
        <v>72.7</v>
      </c>
      <c r="L16" s="54">
        <f>G16*3</f>
        <v>0</v>
      </c>
    </row>
    <row r="17" spans="1:14" ht="15" customHeight="1" x14ac:dyDescent="0.2">
      <c r="A17" s="28"/>
      <c r="B17" s="24" t="s">
        <v>30</v>
      </c>
      <c r="C17" s="57"/>
      <c r="D17" s="58">
        <f>D15-D16</f>
        <v>0</v>
      </c>
      <c r="E17" s="38"/>
      <c r="F17" s="24" t="s">
        <v>31</v>
      </c>
      <c r="G17" s="56">
        <v>0</v>
      </c>
      <c r="H17" s="52">
        <f>G17*K17</f>
        <v>0</v>
      </c>
      <c r="I17" s="52"/>
      <c r="J17" s="26"/>
      <c r="K17" s="53">
        <v>84.3</v>
      </c>
      <c r="L17" s="54">
        <f>G17*4</f>
        <v>0</v>
      </c>
    </row>
    <row r="18" spans="1:14" ht="15" customHeight="1" x14ac:dyDescent="0.2">
      <c r="A18" s="28"/>
      <c r="B18" s="24"/>
      <c r="C18" s="50" t="s">
        <v>32</v>
      </c>
      <c r="D18" s="50"/>
      <c r="E18" s="38"/>
      <c r="F18" s="24" t="s">
        <v>33</v>
      </c>
      <c r="G18" s="56">
        <v>0</v>
      </c>
      <c r="H18" s="52">
        <f>G18*K18</f>
        <v>0</v>
      </c>
      <c r="I18" s="52"/>
      <c r="J18" s="26"/>
      <c r="K18" s="53">
        <v>96.9</v>
      </c>
      <c r="L18" s="54">
        <f>G18*5</f>
        <v>0</v>
      </c>
    </row>
    <row r="19" spans="1:14" ht="15" customHeight="1" x14ac:dyDescent="0.2">
      <c r="A19" s="28"/>
      <c r="B19" s="24" t="s">
        <v>34</v>
      </c>
      <c r="C19" s="5">
        <v>0</v>
      </c>
      <c r="D19" s="5">
        <v>0</v>
      </c>
      <c r="E19" s="38"/>
      <c r="F19" s="59" t="s">
        <v>35</v>
      </c>
      <c r="G19" s="46">
        <f>SUM(G14:G18)</f>
        <v>0</v>
      </c>
      <c r="H19" s="60">
        <f>SUM(H14:H18)</f>
        <v>0</v>
      </c>
      <c r="I19" s="61"/>
      <c r="J19" s="26"/>
      <c r="K19" s="48" t="s">
        <v>36</v>
      </c>
      <c r="L19" s="54">
        <f>SUM(L14:L18)</f>
        <v>0</v>
      </c>
    </row>
    <row r="20" spans="1:14" ht="15" customHeight="1" x14ac:dyDescent="0.2">
      <c r="A20" s="28"/>
      <c r="B20" s="24" t="str">
        <f>CONCATENATE("Surface utile de ",C10," [m²] :")</f>
        <v>Surface utile de Bureaux [m²] :</v>
      </c>
      <c r="C20" s="5">
        <v>0</v>
      </c>
      <c r="D20" s="5">
        <v>0</v>
      </c>
      <c r="E20" s="38"/>
      <c r="F20" s="24" t="s">
        <v>37</v>
      </c>
      <c r="G20" s="56">
        <v>0</v>
      </c>
      <c r="H20" s="33"/>
      <c r="I20" s="33"/>
      <c r="J20" s="26"/>
      <c r="K20" s="62">
        <v>1</v>
      </c>
      <c r="L20" s="35"/>
    </row>
    <row r="21" spans="1:14" ht="15" customHeight="1" x14ac:dyDescent="0.2">
      <c r="A21" s="28"/>
      <c r="B21" s="667" t="s">
        <v>38</v>
      </c>
      <c r="C21" s="685">
        <v>0</v>
      </c>
      <c r="D21" s="685"/>
      <c r="E21" s="38"/>
      <c r="F21" s="24" t="s">
        <v>39</v>
      </c>
      <c r="G21" s="56">
        <v>0</v>
      </c>
      <c r="H21" s="63"/>
      <c r="I21" s="63"/>
      <c r="J21" s="26"/>
      <c r="K21" s="39"/>
      <c r="L21" s="35"/>
    </row>
    <row r="22" spans="1:14" ht="15" customHeight="1" x14ac:dyDescent="0.2">
      <c r="A22" s="28"/>
      <c r="B22" s="24"/>
      <c r="C22" s="38"/>
      <c r="D22" s="38"/>
      <c r="E22" s="38"/>
      <c r="F22" s="24" t="s">
        <v>40</v>
      </c>
      <c r="G22" s="55">
        <v>0</v>
      </c>
      <c r="H22" s="63"/>
      <c r="I22" s="63"/>
      <c r="J22" s="26"/>
      <c r="K22" s="39"/>
    </row>
    <row r="23" spans="1:14" ht="15" customHeight="1" x14ac:dyDescent="0.2">
      <c r="A23" s="28"/>
      <c r="B23" s="24"/>
      <c r="C23" s="38"/>
      <c r="D23" s="38"/>
      <c r="E23" s="38"/>
      <c r="F23" s="24" t="s">
        <v>41</v>
      </c>
      <c r="G23" s="64" t="s">
        <v>42</v>
      </c>
      <c r="H23" s="63"/>
      <c r="I23" s="63"/>
      <c r="J23" s="65"/>
      <c r="K23" s="66"/>
    </row>
    <row r="24" spans="1:14" ht="9.9499999999999993" customHeight="1" x14ac:dyDescent="0.2">
      <c r="A24" s="28"/>
      <c r="B24" s="38"/>
      <c r="C24" s="38"/>
      <c r="D24" s="38"/>
      <c r="E24" s="38"/>
      <c r="F24" s="38"/>
      <c r="G24" s="19"/>
      <c r="H24" s="63"/>
      <c r="I24" s="63"/>
      <c r="J24" s="67"/>
      <c r="K24" s="39"/>
    </row>
    <row r="25" spans="1:14" ht="20.25" x14ac:dyDescent="0.2">
      <c r="A25" s="68"/>
      <c r="B25" s="14" t="s">
        <v>43</v>
      </c>
      <c r="C25" s="15" t="s">
        <v>44</v>
      </c>
      <c r="D25" s="69"/>
      <c r="E25" s="70"/>
      <c r="F25" s="70"/>
      <c r="G25" s="71"/>
      <c r="H25" s="72"/>
      <c r="I25" s="73"/>
      <c r="J25" s="67"/>
      <c r="K25" s="39"/>
    </row>
    <row r="26" spans="1:14" ht="15" customHeight="1" x14ac:dyDescent="0.2">
      <c r="A26" s="13"/>
      <c r="B26" s="22"/>
      <c r="C26" s="22"/>
      <c r="D26" s="50" t="s">
        <v>24</v>
      </c>
      <c r="E26" s="19"/>
      <c r="F26" s="19"/>
      <c r="G26" s="19"/>
      <c r="H26" s="73"/>
      <c r="I26" s="73"/>
      <c r="J26" s="74"/>
      <c r="K26" s="75"/>
      <c r="L26" s="76">
        <v>0</v>
      </c>
    </row>
    <row r="27" spans="1:14" ht="15" customHeight="1" x14ac:dyDescent="0.2">
      <c r="A27" s="68"/>
      <c r="B27" s="24" t="s">
        <v>45</v>
      </c>
      <c r="C27" s="45"/>
      <c r="D27" s="3" t="s">
        <v>42</v>
      </c>
      <c r="E27" s="45"/>
      <c r="F27" s="24" t="s">
        <v>46</v>
      </c>
      <c r="G27" s="3" t="s">
        <v>42</v>
      </c>
      <c r="H27" s="33">
        <f>IF(G27='Data-Liste'!K3,1,0)</f>
        <v>0</v>
      </c>
      <c r="I27" s="33"/>
      <c r="J27" s="669" t="s">
        <v>47</v>
      </c>
      <c r="K27" s="670" t="str">
        <f>E35</f>
        <v>Note TEC-Tec</v>
      </c>
      <c r="L27" s="76">
        <v>0</v>
      </c>
    </row>
    <row r="28" spans="1:14" ht="15" customHeight="1" x14ac:dyDescent="0.2">
      <c r="A28" s="68"/>
      <c r="B28" s="24" t="s">
        <v>48</v>
      </c>
      <c r="C28" s="45"/>
      <c r="D28" s="3" t="s">
        <v>42</v>
      </c>
      <c r="E28" s="45"/>
      <c r="F28" s="24" t="s">
        <v>49</v>
      </c>
      <c r="G28" s="55">
        <v>0</v>
      </c>
      <c r="H28" s="77" t="s">
        <v>50</v>
      </c>
      <c r="I28" s="77"/>
      <c r="J28" s="671" t="s">
        <v>51</v>
      </c>
      <c r="K28" s="672">
        <v>0</v>
      </c>
      <c r="L28" s="76">
        <v>0</v>
      </c>
    </row>
    <row r="29" spans="1:14" ht="15" customHeight="1" x14ac:dyDescent="0.2">
      <c r="A29" s="68"/>
      <c r="B29" s="24" t="s">
        <v>52</v>
      </c>
      <c r="C29" s="44"/>
      <c r="D29" s="3" t="s">
        <v>42</v>
      </c>
      <c r="E29" s="78"/>
      <c r="F29" s="79"/>
      <c r="G29" s="79"/>
      <c r="H29" s="73"/>
      <c r="I29" s="73"/>
      <c r="J29" s="671" t="s">
        <v>53</v>
      </c>
      <c r="K29" s="673">
        <f>IF(E37&gt;K30,K30,E37)</f>
        <v>0</v>
      </c>
      <c r="L29" s="668"/>
    </row>
    <row r="30" spans="1:14" ht="15" customHeight="1" x14ac:dyDescent="0.2">
      <c r="A30" s="68"/>
      <c r="B30" s="80"/>
      <c r="C30" s="45"/>
      <c r="D30" s="29"/>
      <c r="E30" s="45"/>
      <c r="F30" s="79"/>
      <c r="G30" s="79"/>
      <c r="H30" s="73"/>
      <c r="I30" s="73"/>
      <c r="J30" s="671" t="s">
        <v>54</v>
      </c>
      <c r="K30" s="670">
        <f>Données!D$22</f>
        <v>30</v>
      </c>
      <c r="L30" s="76">
        <v>0</v>
      </c>
    </row>
    <row r="31" spans="1:14" ht="15" customHeight="1" x14ac:dyDescent="0.2">
      <c r="A31" s="68"/>
      <c r="B31" s="24" t="s">
        <v>55</v>
      </c>
      <c r="C31" s="45"/>
      <c r="D31" s="3" t="s">
        <v>42</v>
      </c>
      <c r="E31" s="33">
        <f>IF(OR(D$31='Data-Liste'!J2,D$31='Data-Liste'!J3),0,IF(D$31='Data-Liste'!J4,1,IF(D$31='Data-Liste'!J5,2,3)))</f>
        <v>0</v>
      </c>
      <c r="F31" s="79"/>
      <c r="G31" s="79"/>
      <c r="H31" s="73"/>
      <c r="I31" s="73"/>
      <c r="J31" s="674" t="s">
        <v>56</v>
      </c>
      <c r="K31" s="670" t="s">
        <v>57</v>
      </c>
      <c r="L31" s="76"/>
      <c r="M31" s="81"/>
      <c r="N31" s="81"/>
    </row>
    <row r="32" spans="1:14" ht="15" customHeight="1" x14ac:dyDescent="0.2">
      <c r="A32" s="68"/>
      <c r="B32" s="24" t="s">
        <v>58</v>
      </c>
      <c r="C32" s="45"/>
      <c r="D32" s="3">
        <v>0</v>
      </c>
      <c r="E32" s="45"/>
      <c r="F32" s="79"/>
      <c r="G32" s="79"/>
      <c r="H32" s="73"/>
      <c r="I32" s="73"/>
      <c r="J32" s="671" t="s">
        <v>51</v>
      </c>
      <c r="K32" s="672">
        <v>0</v>
      </c>
      <c r="L32" s="76"/>
      <c r="M32" s="82"/>
      <c r="N32" s="82"/>
    </row>
    <row r="33" spans="1:14" ht="9.9499999999999993" customHeight="1" x14ac:dyDescent="0.2">
      <c r="A33" s="68"/>
      <c r="B33" s="73"/>
      <c r="C33" s="29"/>
      <c r="D33" s="29"/>
      <c r="E33" s="45"/>
      <c r="F33" s="45"/>
      <c r="G33" s="73"/>
      <c r="H33" s="73"/>
      <c r="I33" s="73"/>
      <c r="J33" s="671" t="s">
        <v>53</v>
      </c>
      <c r="K33" s="673">
        <f>IF(E43&gt;K34,K34,E43)</f>
        <v>0</v>
      </c>
      <c r="L33" s="83"/>
      <c r="M33" s="82"/>
      <c r="N33" s="82"/>
    </row>
    <row r="34" spans="1:14" ht="20.25" x14ac:dyDescent="0.2">
      <c r="A34" s="68"/>
      <c r="B34" s="14" t="s">
        <v>59</v>
      </c>
      <c r="C34" s="15" t="s">
        <v>60</v>
      </c>
      <c r="D34" s="72"/>
      <c r="E34" s="70"/>
      <c r="F34" s="84"/>
      <c r="G34" s="84"/>
      <c r="H34" s="72"/>
      <c r="I34" s="73"/>
      <c r="J34" s="671" t="s">
        <v>54</v>
      </c>
      <c r="K34" s="670">
        <f>Données!D$57</f>
        <v>70</v>
      </c>
      <c r="L34" s="83"/>
    </row>
    <row r="35" spans="1:14" ht="15" customHeight="1" x14ac:dyDescent="0.2">
      <c r="A35" s="13"/>
      <c r="B35" s="22"/>
      <c r="C35" s="50" t="s">
        <v>32</v>
      </c>
      <c r="D35" s="50" t="s">
        <v>24</v>
      </c>
      <c r="E35" s="85" t="s">
        <v>61</v>
      </c>
      <c r="F35" s="85"/>
      <c r="G35" s="86"/>
      <c r="H35" s="18"/>
      <c r="I35" s="18"/>
      <c r="J35" s="686" t="s">
        <v>62</v>
      </c>
      <c r="K35" s="87"/>
      <c r="L35" s="83"/>
    </row>
    <row r="36" spans="1:14" ht="15" customHeight="1" x14ac:dyDescent="0.2">
      <c r="A36" s="68"/>
      <c r="B36" s="24" t="s">
        <v>63</v>
      </c>
      <c r="C36" s="4" t="s">
        <v>42</v>
      </c>
      <c r="D36" s="4" t="s">
        <v>42</v>
      </c>
      <c r="E36" s="38"/>
      <c r="F36" s="88"/>
      <c r="G36" s="86"/>
      <c r="H36" s="73"/>
      <c r="I36" s="73"/>
      <c r="J36" s="687"/>
      <c r="K36" s="89"/>
      <c r="L36" s="83"/>
    </row>
    <row r="37" spans="1:14" ht="16.5" x14ac:dyDescent="0.2">
      <c r="A37" s="68"/>
      <c r="B37" s="24" t="s">
        <v>64</v>
      </c>
      <c r="C37" s="688" t="str">
        <f>'Calcul Projet'!C44</f>
        <v>surface non renseignée</v>
      </c>
      <c r="D37" s="688"/>
      <c r="E37" s="90">
        <f>'Calcul Projet'!D59</f>
        <v>0</v>
      </c>
      <c r="F37" s="91"/>
      <c r="G37" s="86"/>
      <c r="H37" s="73"/>
      <c r="I37" s="73"/>
      <c r="J37" s="687"/>
      <c r="K37" s="92"/>
      <c r="L37" s="83"/>
    </row>
    <row r="38" spans="1:14" ht="16.5" x14ac:dyDescent="0.2">
      <c r="A38" s="68"/>
      <c r="B38" s="24" t="s">
        <v>65</v>
      </c>
      <c r="C38" s="683" t="s">
        <v>42</v>
      </c>
      <c r="D38" s="683"/>
      <c r="E38" s="33"/>
      <c r="F38" s="93"/>
      <c r="G38" s="86"/>
      <c r="H38" s="94"/>
      <c r="I38" s="94"/>
      <c r="J38" s="687"/>
      <c r="K38" s="92"/>
      <c r="L38" s="95"/>
    </row>
    <row r="39" spans="1:14" ht="16.5" x14ac:dyDescent="0.2">
      <c r="A39" s="68"/>
      <c r="B39" s="24" t="s">
        <v>66</v>
      </c>
      <c r="C39" s="4" t="s">
        <v>42</v>
      </c>
      <c r="D39" s="4" t="s">
        <v>42</v>
      </c>
      <c r="E39" s="33"/>
      <c r="F39" s="93"/>
      <c r="G39" s="86"/>
      <c r="H39" s="94"/>
      <c r="I39" s="94"/>
      <c r="J39" s="687"/>
      <c r="K39" s="96"/>
      <c r="L39" s="95"/>
    </row>
    <row r="40" spans="1:14" ht="16.5" x14ac:dyDescent="0.2">
      <c r="A40" s="28"/>
      <c r="B40" s="24" t="s">
        <v>67</v>
      </c>
      <c r="C40" s="4" t="s">
        <v>42</v>
      </c>
      <c r="D40" s="4" t="s">
        <v>42</v>
      </c>
      <c r="E40" s="38"/>
      <c r="F40" s="88"/>
      <c r="G40" s="86"/>
      <c r="H40" s="94"/>
      <c r="I40" s="94"/>
      <c r="J40" s="687"/>
      <c r="K40" s="96"/>
      <c r="L40" s="97"/>
      <c r="M40" s="97"/>
      <c r="N40" s="97"/>
    </row>
    <row r="41" spans="1:14" ht="16.5" x14ac:dyDescent="0.2">
      <c r="A41" s="28"/>
      <c r="B41" s="24" t="s">
        <v>68</v>
      </c>
      <c r="C41" s="98" t="s">
        <v>42</v>
      </c>
      <c r="D41" s="98" t="s">
        <v>42</v>
      </c>
      <c r="E41" s="38"/>
      <c r="F41" s="88"/>
      <c r="G41" s="86"/>
      <c r="H41" s="94"/>
      <c r="I41" s="94"/>
      <c r="J41" s="687"/>
      <c r="K41" s="96"/>
      <c r="L41" s="97"/>
      <c r="M41" s="97"/>
      <c r="N41" s="97"/>
    </row>
    <row r="42" spans="1:14" ht="16.5" x14ac:dyDescent="0.2">
      <c r="A42" s="13"/>
      <c r="B42" s="24" t="s">
        <v>69</v>
      </c>
      <c r="C42" s="689" t="str">
        <f>'Calcul Projet'!C55</f>
        <v>surface non renseignée</v>
      </c>
      <c r="D42" s="689"/>
      <c r="E42" s="99"/>
      <c r="F42" s="91"/>
      <c r="G42" s="86"/>
      <c r="H42" s="94"/>
      <c r="I42" s="94"/>
      <c r="J42" s="687"/>
      <c r="K42" s="96"/>
    </row>
    <row r="43" spans="1:14" ht="16.5" x14ac:dyDescent="0.2">
      <c r="A43" s="13"/>
      <c r="B43" s="24" t="s">
        <v>70</v>
      </c>
      <c r="C43" s="690" t="str">
        <f>'Calcul Projet'!C56</f>
        <v>surface non renseignée</v>
      </c>
      <c r="D43" s="690"/>
      <c r="E43" s="90">
        <f>'Calcul Projet'!D60</f>
        <v>0</v>
      </c>
      <c r="F43" s="91"/>
      <c r="G43" s="86"/>
      <c r="H43" s="94"/>
      <c r="I43" s="94"/>
      <c r="J43" s="687"/>
      <c r="K43" s="96"/>
    </row>
    <row r="44" spans="1:14" ht="16.5" x14ac:dyDescent="0.2">
      <c r="A44" s="13"/>
      <c r="B44" s="24" t="s">
        <v>71</v>
      </c>
      <c r="C44" s="100"/>
      <c r="D44" s="100"/>
      <c r="E44" s="101">
        <f>E37+E43</f>
        <v>0</v>
      </c>
      <c r="F44" s="91"/>
      <c r="G44" s="86"/>
      <c r="H44" s="94"/>
      <c r="I44" s="94"/>
      <c r="J44" s="687"/>
      <c r="K44" s="92"/>
    </row>
    <row r="45" spans="1:14" ht="16.5" x14ac:dyDescent="0.2">
      <c r="A45" s="68"/>
      <c r="B45" s="24" t="s">
        <v>72</v>
      </c>
      <c r="C45" s="683" t="s">
        <v>42</v>
      </c>
      <c r="D45" s="683"/>
      <c r="E45" s="45" t="str">
        <f>IF(C45='Data-Liste'!O5,"+ 1 nid","")</f>
        <v/>
      </c>
      <c r="F45" s="45"/>
      <c r="G45" s="86"/>
      <c r="H45" s="94"/>
      <c r="I45" s="94"/>
      <c r="J45" s="687"/>
      <c r="K45" s="92"/>
    </row>
    <row r="46" spans="1:14" ht="16.5" x14ac:dyDescent="0.2">
      <c r="A46" s="68"/>
      <c r="B46" s="24" t="s">
        <v>73</v>
      </c>
      <c r="C46" s="683" t="s">
        <v>42</v>
      </c>
      <c r="D46" s="683"/>
      <c r="E46" s="45" t="str">
        <f>IF(C46='Data-Liste'!P5,"+ 1 oeuf","")</f>
        <v/>
      </c>
      <c r="F46" s="45"/>
      <c r="G46" s="86"/>
      <c r="H46" s="94"/>
      <c r="I46" s="94"/>
      <c r="J46" s="29"/>
      <c r="K46" s="92"/>
    </row>
    <row r="47" spans="1:14" ht="16.5" x14ac:dyDescent="0.2">
      <c r="A47" s="68"/>
      <c r="B47" s="43"/>
      <c r="C47" s="43"/>
      <c r="D47" s="43"/>
      <c r="E47" s="102"/>
      <c r="F47" s="45"/>
      <c r="G47" s="43"/>
      <c r="H47" s="73"/>
      <c r="I47" s="73"/>
      <c r="J47" s="666"/>
      <c r="K47" s="666"/>
    </row>
    <row r="48" spans="1:14" x14ac:dyDescent="0.2"/>
    <row r="49" spans="1:18" x14ac:dyDescent="0.2">
      <c r="B49" s="103"/>
    </row>
    <row r="50" spans="1:18" x14ac:dyDescent="0.2">
      <c r="B50" s="104"/>
      <c r="C50" s="105"/>
      <c r="D50" s="105"/>
      <c r="E50" s="106"/>
      <c r="F50" s="106"/>
    </row>
    <row r="51" spans="1:18" x14ac:dyDescent="0.2">
      <c r="B51" s="104"/>
      <c r="C51" s="105"/>
      <c r="D51" s="105"/>
    </row>
    <row r="52" spans="1:18" x14ac:dyDescent="0.2">
      <c r="B52" s="104"/>
    </row>
    <row r="53" spans="1:18" x14ac:dyDescent="0.2">
      <c r="B53" s="104"/>
    </row>
    <row r="54" spans="1:18" x14ac:dyDescent="0.2">
      <c r="B54" s="104"/>
    </row>
    <row r="56" spans="1:18" x14ac:dyDescent="0.2">
      <c r="B56" s="104"/>
    </row>
    <row r="57" spans="1:18" x14ac:dyDescent="0.2">
      <c r="B57" s="104"/>
    </row>
    <row r="59" spans="1:18" x14ac:dyDescent="0.2">
      <c r="G59" s="107"/>
      <c r="J59" s="107"/>
      <c r="K59" s="107"/>
    </row>
    <row r="60" spans="1:18" s="107" customFormat="1" x14ac:dyDescent="0.2">
      <c r="G60" s="6"/>
      <c r="J60" s="6"/>
      <c r="K60" s="6"/>
    </row>
    <row r="61" spans="1:18" s="97" customFormat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R61" s="6"/>
    </row>
    <row r="62" spans="1:18" x14ac:dyDescent="0.2">
      <c r="R62" s="97"/>
    </row>
    <row r="63" spans="1:18" x14ac:dyDescent="0.2"/>
    <row r="64" spans="1:18" x14ac:dyDescent="0.2"/>
  </sheetData>
  <sheetProtection sheet="1" objects="1" scenarios="1" selectLockedCells="1"/>
  <mergeCells count="14">
    <mergeCell ref="C46:D46"/>
    <mergeCell ref="C10:D10"/>
    <mergeCell ref="C21:D21"/>
    <mergeCell ref="J35:J45"/>
    <mergeCell ref="C37:D37"/>
    <mergeCell ref="C38:D38"/>
    <mergeCell ref="C42:D42"/>
    <mergeCell ref="C43:D43"/>
    <mergeCell ref="C45:D45"/>
    <mergeCell ref="C4:D4"/>
    <mergeCell ref="C6:D6"/>
    <mergeCell ref="C7:D7"/>
    <mergeCell ref="C8:D8"/>
    <mergeCell ref="C9:D9"/>
  </mergeCells>
  <conditionalFormatting sqref="B9:D9 F13:I19 B19 B39:B40">
    <cfRule type="expression" dxfId="49" priority="2">
      <formula>$E$8=0</formula>
    </cfRule>
  </conditionalFormatting>
  <conditionalFormatting sqref="B10:D10 B20 B41">
    <cfRule type="expression" dxfId="48" priority="3">
      <formula>$E$9=0</formula>
    </cfRule>
  </conditionalFormatting>
  <conditionalFormatting sqref="B35:F47">
    <cfRule type="expression" dxfId="47" priority="4">
      <formula>$C$6="[-]"</formula>
    </cfRule>
  </conditionalFormatting>
  <conditionalFormatting sqref="C18 C35:C36">
    <cfRule type="expression" dxfId="46" priority="5">
      <formula>$E$6=0</formula>
    </cfRule>
  </conditionalFormatting>
  <conditionalFormatting sqref="C18">
    <cfRule type="expression" dxfId="45" priority="6">
      <formula>$C$8="[-]"</formula>
    </cfRule>
  </conditionalFormatting>
  <conditionalFormatting sqref="C19 C39:C40">
    <cfRule type="expression" dxfId="44" priority="7">
      <formula>OR($E$6=0,$E$8=0)</formula>
    </cfRule>
  </conditionalFormatting>
  <conditionalFormatting sqref="C20 C41">
    <cfRule type="expression" dxfId="43" priority="8">
      <formula>OR($E$6=0,$E$9=0)</formula>
    </cfRule>
    <cfRule type="expression" dxfId="42" priority="9">
      <formula>"$C$6=ET('Data-Liste'!$B$16;'Data-Liste'!$B$17)"</formula>
    </cfRule>
  </conditionalFormatting>
  <conditionalFormatting sqref="D14:D16 B15:B17 C17:D17 B25:H32 D35:D36">
    <cfRule type="expression" dxfId="41" priority="10">
      <formula>$E$7=0</formula>
    </cfRule>
    <cfRule type="expression" dxfId="40" priority="11">
      <formula>"$C$6=ET('Data-Liste'!$B$16;'Data-Liste'!$B$17)"</formula>
    </cfRule>
  </conditionalFormatting>
  <conditionalFormatting sqref="D19 D39:D40">
    <cfRule type="expression" dxfId="39" priority="12">
      <formula>OR($E$7=0,$E$8=0)</formula>
    </cfRule>
  </conditionalFormatting>
  <conditionalFormatting sqref="D20 D41">
    <cfRule type="expression" dxfId="38" priority="13">
      <formula>OR($E$7=0,$E$9=0)</formula>
    </cfRule>
  </conditionalFormatting>
  <conditionalFormatting sqref="F19:G23 B21:C21">
    <cfRule type="expression" dxfId="37" priority="14">
      <formula>AND($E$6=0, $E$7=0)</formula>
    </cfRule>
  </conditionalFormatting>
  <conditionalFormatting sqref="F28:I28">
    <cfRule type="expression" dxfId="36" priority="15">
      <formula>OR($E$7=0,$H$27=0)</formula>
    </cfRule>
  </conditionalFormatting>
  <dataValidations count="2">
    <dataValidation operator="equal" allowBlank="1" showErrorMessage="1" sqref="K4" xr:uid="{00000000-0002-0000-0000-000000000000}">
      <formula1>0</formula1>
      <formula2>0</formula2>
    </dataValidation>
    <dataValidation type="list" allowBlank="1" showInputMessage="1" showErrorMessage="1" sqref="C8:D8 D9:D10 D38 D45:D46" xr:uid="{00000000-0002-0000-0000-000001000000}">
      <formula1>Usages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  <drawing r:id="rId1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 xr:uid="{00000000-0002-0000-0000-000002000000}">
          <x14:formula1>
            <xm:f>'Data-Liste'!$B$2:$B$5</xm:f>
          </x14:formula1>
          <x14:formula2>
            <xm:f>0</xm:f>
          </x14:formula2>
          <xm:sqref>C6:D6</xm:sqref>
        </x14:dataValidation>
        <x14:dataValidation type="list" allowBlank="1" showInputMessage="1" showErrorMessage="1" xr:uid="{00000000-0002-0000-0000-000003000000}">
          <x14:formula1>
            <xm:f>'Data-Liste'!$J$2:$J$6</xm:f>
          </x14:formula1>
          <x14:formula2>
            <xm:f>0</xm:f>
          </x14:formula2>
          <xm:sqref>D31</xm:sqref>
        </x14:dataValidation>
        <x14:dataValidation type="list" allowBlank="1" showInputMessage="1" showErrorMessage="1" xr:uid="{00000000-0002-0000-0000-000004000000}">
          <x14:formula1>
            <xm:f>'Data-Liste'!$K$2:$K$4</xm:f>
          </x14:formula1>
          <x14:formula2>
            <xm:f>0</xm:f>
          </x14:formula2>
          <xm:sqref>G23 G27 C38</xm:sqref>
        </x14:dataValidation>
        <x14:dataValidation type="list" allowBlank="1" showInputMessage="1" showErrorMessage="1" xr:uid="{00000000-0002-0000-0000-000005000000}">
          <x14:formula1>
            <xm:f>'Data-Liste'!$F$3:$F$7</xm:f>
          </x14:formula1>
          <x14:formula2>
            <xm:f>0</xm:f>
          </x14:formula2>
          <xm:sqref>C10</xm:sqref>
        </x14:dataValidation>
        <x14:dataValidation type="list" allowBlank="1" showInputMessage="1" showErrorMessage="1" xr:uid="{00000000-0002-0000-0000-000006000000}">
          <x14:formula1>
            <xm:f>'Data-Liste'!$C$2:$C$5</xm:f>
          </x14:formula1>
          <x14:formula2>
            <xm:f>0</xm:f>
          </x14:formula2>
          <xm:sqref>C7</xm:sqref>
        </x14:dataValidation>
        <x14:dataValidation type="list" allowBlank="1" showInputMessage="1" showErrorMessage="1" xr:uid="{00000000-0002-0000-0000-000007000000}">
          <x14:formula1>
            <xm:f>'Data-Liste'!$N$2:$N$5</xm:f>
          </x14:formula1>
          <x14:formula2>
            <xm:f>0</xm:f>
          </x14:formula2>
          <xm:sqref>C41:D41</xm:sqref>
        </x14:dataValidation>
        <x14:dataValidation type="list" operator="equal" allowBlank="1" showErrorMessage="1" xr:uid="{00000000-0002-0000-0000-000008000000}">
          <x14:formula1>
            <xm:f>'Data-Liste'!$G$2:$G$5</xm:f>
          </x14:formula1>
          <x14:formula2>
            <xm:f>0</xm:f>
          </x14:formula2>
          <xm:sqref>D27</xm:sqref>
        </x14:dataValidation>
        <x14:dataValidation type="list" operator="equal" allowBlank="1" showErrorMessage="1" xr:uid="{00000000-0002-0000-0000-000009000000}">
          <x14:formula1>
            <xm:f>'Data-Liste'!$H$2:$H$5</xm:f>
          </x14:formula1>
          <x14:formula2>
            <xm:f>0</xm:f>
          </x14:formula2>
          <xm:sqref>D28</xm:sqref>
        </x14:dataValidation>
        <x14:dataValidation type="list" operator="equal" allowBlank="1" showErrorMessage="1" xr:uid="{00000000-0002-0000-0000-00000A000000}">
          <x14:formula1>
            <xm:f>'Data-Liste'!$I$2:$I$5</xm:f>
          </x14:formula1>
          <x14:formula2>
            <xm:f>0</xm:f>
          </x14:formula2>
          <xm:sqref>D29</xm:sqref>
        </x14:dataValidation>
        <x14:dataValidation type="list" allowBlank="1" showInputMessage="1" showErrorMessage="1" xr:uid="{00000000-0002-0000-0000-00000B000000}">
          <x14:formula1>
            <xm:f>'Data-Liste'!$E$3:$E$5</xm:f>
          </x14:formula1>
          <x14:formula2>
            <xm:f>0</xm:f>
          </x14:formula2>
          <xm:sqref>C9</xm:sqref>
        </x14:dataValidation>
        <x14:dataValidation type="list" allowBlank="1" showInputMessage="1" showErrorMessage="1" xr:uid="{00000000-0002-0000-0000-00000C000000}">
          <x14:formula1>
            <xm:f>'Data-Liste'!$D$2:$D$6</xm:f>
          </x14:formula1>
          <x14:formula2>
            <xm:f>0</xm:f>
          </x14:formula2>
          <xm:sqref>C36:D36</xm:sqref>
        </x14:dataValidation>
        <x14:dataValidation type="list" allowBlank="1" showInputMessage="1" showErrorMessage="1" xr:uid="{00000000-0002-0000-0000-00000D000000}">
          <x14:formula1>
            <xm:f>'Data-Liste'!$O$2:$O$5</xm:f>
          </x14:formula1>
          <x14:formula2>
            <xm:f>0</xm:f>
          </x14:formula2>
          <xm:sqref>C45</xm:sqref>
        </x14:dataValidation>
        <x14:dataValidation type="list" allowBlank="1" showInputMessage="1" showErrorMessage="1" xr:uid="{00000000-0002-0000-0000-00000E000000}">
          <x14:formula1>
            <xm:f>'Data-Liste'!$P$2:$P$5</xm:f>
          </x14:formula1>
          <x14:formula2>
            <xm:f>0</xm:f>
          </x14:formula2>
          <xm:sqref>C46</xm:sqref>
        </x14:dataValidation>
        <x14:dataValidation type="list" allowBlank="1" showInputMessage="1" showErrorMessage="1" xr:uid="{00000000-0002-0000-0000-00000F000000}">
          <x14:formula1>
            <xm:f>'Data-Liste'!$M$2:$M$5</xm:f>
          </x14:formula1>
          <x14:formula2>
            <xm:f>0</xm:f>
          </x14:formula2>
          <xm:sqref>D40</xm:sqref>
        </x14:dataValidation>
        <x14:dataValidation type="list" allowBlank="1" showInputMessage="1" showErrorMessage="1" xr:uid="{00000000-0002-0000-0000-000010000000}">
          <x14:formula1>
            <xm:f>'Data-Liste'!$L$2:$L$5</xm:f>
          </x14:formula1>
          <x14:formula2>
            <xm:f>0</xm:f>
          </x14:formula2>
          <xm:sqref>C39:D39</xm:sqref>
        </x14:dataValidation>
        <x14:dataValidation type="list" allowBlank="1" showInputMessage="1" showErrorMessage="1" xr:uid="{00000000-0002-0000-0000-000011000000}">
          <x14:formula1>
            <xm:f>'Data-Liste'!$M$2:$M$4</xm:f>
          </x14:formula1>
          <x14:formula2>
            <xm:f>0</xm:f>
          </x14:formula2>
          <xm:sqref>C40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O359"/>
  <sheetViews>
    <sheetView showGridLines="0" zoomScale="90" zoomScaleNormal="90" workbookViewId="0">
      <pane ySplit="5" topLeftCell="A6" activePane="bottomLeft" state="frozen"/>
      <selection activeCell="B1" sqref="B1"/>
      <selection pane="bottomLeft" activeCell="C2" sqref="C2"/>
    </sheetView>
  </sheetViews>
  <sheetFormatPr baseColWidth="10" defaultColWidth="11.5703125" defaultRowHeight="12.75" customHeight="1" outlineLevelRow="4" x14ac:dyDescent="0.2"/>
  <cols>
    <col min="1" max="1" width="22.42578125" style="108" customWidth="1"/>
    <col min="2" max="2" width="28.140625" style="109" customWidth="1"/>
    <col min="3" max="3" width="44.85546875" style="109" customWidth="1"/>
    <col min="4" max="4" width="7.7109375" style="110" customWidth="1"/>
    <col min="5" max="6" width="23" style="111" customWidth="1"/>
    <col min="7" max="7" width="21.140625" style="110" bestFit="1" customWidth="1"/>
    <col min="8" max="8" width="17.85546875" style="112" customWidth="1"/>
    <col min="9" max="9" width="23.140625" style="112" customWidth="1"/>
    <col min="10" max="10" width="15.28515625" style="112" customWidth="1"/>
    <col min="11" max="11" width="37.28515625" style="111" customWidth="1"/>
    <col min="12" max="12" width="16.28515625" style="111" customWidth="1"/>
    <col min="13" max="19" width="22.28515625" style="111" customWidth="1"/>
    <col min="20" max="65" width="11.5703125" style="109"/>
    <col min="66" max="16384" width="11.5703125" style="113"/>
  </cols>
  <sheetData>
    <row r="1" spans="1:67" ht="19.5" customHeight="1" x14ac:dyDescent="0.3">
      <c r="B1" s="114"/>
      <c r="C1" s="18"/>
      <c r="D1" s="115"/>
      <c r="E1" s="116"/>
      <c r="F1" s="117" t="s">
        <v>4</v>
      </c>
      <c r="G1" s="117" t="s">
        <v>74</v>
      </c>
      <c r="H1" s="118"/>
      <c r="I1" s="119"/>
      <c r="J1" s="117" t="s">
        <v>75</v>
      </c>
      <c r="K1" s="120"/>
      <c r="L1" s="675" t="s">
        <v>76</v>
      </c>
      <c r="M1" s="676" t="s">
        <v>77</v>
      </c>
      <c r="N1" s="37"/>
      <c r="O1" s="19"/>
      <c r="P1" s="19"/>
      <c r="Q1" s="19"/>
      <c r="R1" s="109"/>
      <c r="S1" s="109"/>
      <c r="BN1"/>
      <c r="BO1"/>
    </row>
    <row r="2" spans="1:67" ht="19.5" customHeight="1" x14ac:dyDescent="0.3">
      <c r="B2" s="121" t="s">
        <v>78</v>
      </c>
      <c r="C2" s="122" t="str">
        <f>PROJET!C4</f>
        <v>PROJET</v>
      </c>
      <c r="D2" s="115"/>
      <c r="E2" s="116" t="s">
        <v>79</v>
      </c>
      <c r="F2" s="123" t="str">
        <f>PROJET!C37</f>
        <v>surface non renseignée</v>
      </c>
      <c r="G2" s="123">
        <f>IF(AND(E15=0,F15=0,E17=0,F17=0),0,(SUM(H36:J41)+SUM(H52:J73)+SUM(H76:J96)+SUM(H99:J127)+SUM(H130:J149)+SUM(H152:J169))/(E15+E17+F15+F17))</f>
        <v>0</v>
      </c>
      <c r="H2" s="120" t="s">
        <v>80</v>
      </c>
      <c r="I2" s="124" t="s">
        <v>81</v>
      </c>
      <c r="J2" s="125">
        <f>IF(AND(J311="",J317=""),0,J311+J317)</f>
        <v>0</v>
      </c>
      <c r="K2" s="120" t="s">
        <v>82</v>
      </c>
      <c r="L2" s="675">
        <f>Données!D22*(Données!D24-G2)/(Données!D24-Données!D23)</f>
        <v>36</v>
      </c>
      <c r="M2" s="676">
        <f>IF(L2&lt;0,0,IF(L2&gt;Données!D22,Données!D22,L2))</f>
        <v>30</v>
      </c>
      <c r="N2" s="126"/>
      <c r="O2" s="19"/>
      <c r="P2" s="19"/>
      <c r="Q2" s="19"/>
      <c r="R2" s="109"/>
      <c r="S2" s="109"/>
      <c r="BN2"/>
      <c r="BO2"/>
    </row>
    <row r="3" spans="1:67" ht="21" customHeight="1" x14ac:dyDescent="0.3">
      <c r="B3" s="127"/>
      <c r="C3" s="128"/>
      <c r="D3" s="128"/>
      <c r="E3" s="695" t="s">
        <v>83</v>
      </c>
      <c r="F3" s="123" t="str">
        <f>PROJET!C42</f>
        <v>surface non renseignée</v>
      </c>
      <c r="G3" s="123">
        <f>IF(AND(E15=0,F15=0,E17=0,F17=0),0,SUM(E297:F298)*VLOOKUP($E306,Données!$B$688:$G$690,3,FALSE())*VLOOKUP($E307,Données!$B$691:$G$694,3,FALSE())/(E15+E17+F15+F17))</f>
        <v>0</v>
      </c>
      <c r="H3" s="120" t="s">
        <v>50</v>
      </c>
      <c r="I3" s="696" t="s">
        <v>84</v>
      </c>
      <c r="J3" s="129">
        <f>J341</f>
        <v>0</v>
      </c>
      <c r="K3" s="120" t="s">
        <v>85</v>
      </c>
      <c r="L3" s="677">
        <f>Données!D57*(Données!D59-G4)/(Données!D59-Données!D58)</f>
        <v>75</v>
      </c>
      <c r="M3" s="676">
        <f>IF(L3&lt;0,0,IF(L3&gt;Données!D57,Données!D57,L3))</f>
        <v>70</v>
      </c>
      <c r="N3" s="130"/>
      <c r="O3" s="19"/>
      <c r="P3" s="19"/>
      <c r="Q3" s="19"/>
      <c r="R3" s="109"/>
      <c r="S3" s="109"/>
      <c r="BN3"/>
      <c r="BO3"/>
    </row>
    <row r="4" spans="1:67" ht="21" customHeight="1" x14ac:dyDescent="0.2">
      <c r="B4" s="127"/>
      <c r="C4" s="128"/>
      <c r="D4" s="128"/>
      <c r="E4" s="695"/>
      <c r="F4" s="123" t="str">
        <f>PROJET!C43</f>
        <v>surface non renseignée</v>
      </c>
      <c r="G4" s="123">
        <f>IF(AND(E15=0,F15=0,E17=0,F17=0),0,SUM(H173:I307)/(E15+E17+F15+F17))</f>
        <v>0</v>
      </c>
      <c r="H4" s="120" t="s">
        <v>86</v>
      </c>
      <c r="I4" s="696"/>
      <c r="J4" s="2"/>
      <c r="K4" s="2"/>
      <c r="L4" s="131"/>
      <c r="M4" s="130"/>
      <c r="N4" s="132"/>
      <c r="O4" s="19"/>
      <c r="P4" s="19"/>
      <c r="Q4" s="19"/>
      <c r="R4" s="109"/>
      <c r="S4" s="109"/>
      <c r="BN4"/>
      <c r="BO4"/>
    </row>
    <row r="5" spans="1:67" ht="36.75" customHeight="1" x14ac:dyDescent="0.2">
      <c r="A5" s="133"/>
      <c r="B5" s="57"/>
      <c r="C5" s="44"/>
      <c r="D5" s="78"/>
      <c r="E5" s="116" t="s">
        <v>87</v>
      </c>
      <c r="F5" s="134">
        <f>PROJET!E44</f>
        <v>0</v>
      </c>
      <c r="G5" s="135">
        <f>IF(AND(G2=0,G3=0,G4=0),0,M2+M3)</f>
        <v>0</v>
      </c>
      <c r="H5" s="120" t="s">
        <v>88</v>
      </c>
      <c r="I5" s="45"/>
      <c r="J5" s="45"/>
      <c r="K5" s="45"/>
      <c r="L5" s="136"/>
      <c r="M5" s="137"/>
      <c r="N5" s="138"/>
      <c r="O5" s="45"/>
      <c r="P5" s="45"/>
      <c r="Q5" s="45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  <c r="BM5" s="139"/>
      <c r="BN5"/>
      <c r="BO5"/>
    </row>
    <row r="6" spans="1:67" ht="13.5" customHeight="1" x14ac:dyDescent="0.2">
      <c r="A6" s="133"/>
      <c r="B6" s="140"/>
      <c r="C6" s="141"/>
      <c r="D6" s="142"/>
      <c r="E6" s="141"/>
      <c r="F6" s="143"/>
      <c r="G6" s="142"/>
      <c r="H6" s="144"/>
      <c r="I6" s="144"/>
      <c r="J6" s="144"/>
      <c r="K6" s="141"/>
      <c r="L6" s="109"/>
      <c r="M6" s="109"/>
      <c r="N6" s="109"/>
      <c r="O6" s="109"/>
      <c r="P6" s="109"/>
      <c r="Q6" s="109"/>
      <c r="R6" s="109"/>
      <c r="S6" s="109"/>
    </row>
    <row r="7" spans="1:67" ht="38.25" customHeight="1" x14ac:dyDescent="0.2">
      <c r="A7" s="145"/>
      <c r="B7" s="146" t="s">
        <v>89</v>
      </c>
      <c r="C7" s="147"/>
      <c r="D7" s="148" t="s">
        <v>90</v>
      </c>
      <c r="E7" s="149" t="s">
        <v>91</v>
      </c>
      <c r="F7" s="149" t="s">
        <v>92</v>
      </c>
      <c r="G7" s="148" t="s">
        <v>93</v>
      </c>
      <c r="H7" s="697" t="s">
        <v>94</v>
      </c>
      <c r="I7" s="697"/>
      <c r="J7" s="697"/>
      <c r="K7" s="150" t="s">
        <v>95</v>
      </c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139"/>
    </row>
    <row r="8" spans="1:67" ht="6.75" customHeight="1" x14ac:dyDescent="0.2">
      <c r="B8" s="140"/>
      <c r="C8" s="141"/>
      <c r="D8" s="142"/>
      <c r="E8" s="141"/>
      <c r="F8" s="143"/>
      <c r="G8" s="142"/>
      <c r="H8" s="144"/>
      <c r="I8" s="144"/>
      <c r="J8" s="144"/>
      <c r="K8" s="141"/>
      <c r="L8" s="109"/>
      <c r="M8" s="109"/>
      <c r="N8" s="109"/>
      <c r="O8" s="109"/>
      <c r="P8" s="109"/>
      <c r="Q8" s="109"/>
      <c r="R8" s="109"/>
      <c r="S8" s="109"/>
    </row>
    <row r="9" spans="1:67" ht="16.5" customHeight="1" outlineLevel="1" x14ac:dyDescent="0.2">
      <c r="A9" s="133"/>
      <c r="B9" s="151" t="s">
        <v>96</v>
      </c>
      <c r="C9" s="152" t="s">
        <v>97</v>
      </c>
      <c r="D9" s="698" t="s">
        <v>98</v>
      </c>
      <c r="E9" s="1">
        <f>IF(PROJET!E8=0,0,PROJET!$L19*PROJET!C19*PROJET!E6*PROJET!E8/(PROJET!C19*PROJET!E6*PROJET!E8+PROJET!D19*PROJET!E7*PROJET!E8))</f>
        <v>0</v>
      </c>
      <c r="F9" s="1">
        <f>IF(PROJET!E8=0,0,PROJET!$L19*PROJET!D19*PROJET!E7*PROJET!E8/(PROJET!C19*PROJET!E6*PROJET!E8+PROJET!D19*PROJET!E7*PROJET!E8))</f>
        <v>0</v>
      </c>
      <c r="G9" s="153" t="s">
        <v>99</v>
      </c>
      <c r="H9" s="154"/>
      <c r="I9" s="154"/>
      <c r="J9" s="154"/>
      <c r="K9" s="155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  <c r="BM9" s="141"/>
    </row>
    <row r="10" spans="1:67" ht="16.5" customHeight="1" outlineLevel="1" x14ac:dyDescent="0.2">
      <c r="A10" s="133"/>
      <c r="B10" s="151"/>
      <c r="C10" s="156" t="s">
        <v>100</v>
      </c>
      <c r="D10" s="698"/>
      <c r="E10" s="157">
        <v>0</v>
      </c>
      <c r="F10" s="157">
        <v>0</v>
      </c>
      <c r="G10" s="153" t="s">
        <v>99</v>
      </c>
      <c r="H10" s="154"/>
      <c r="I10" s="154"/>
      <c r="J10" s="154"/>
      <c r="K10" s="155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  <c r="BM10" s="141"/>
    </row>
    <row r="11" spans="1:67" ht="16.5" customHeight="1" outlineLevel="1" x14ac:dyDescent="0.2">
      <c r="A11" s="133"/>
      <c r="B11" s="151"/>
      <c r="C11" s="152" t="s">
        <v>101</v>
      </c>
      <c r="D11" s="698"/>
      <c r="E11" s="157">
        <v>0</v>
      </c>
      <c r="F11" s="157">
        <v>0</v>
      </c>
      <c r="G11" s="153" t="s">
        <v>99</v>
      </c>
      <c r="H11" s="154"/>
      <c r="I11" s="154"/>
      <c r="J11" s="154"/>
      <c r="K11" s="155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141"/>
    </row>
    <row r="12" spans="1:67" ht="16.5" customHeight="1" outlineLevel="1" x14ac:dyDescent="0.2">
      <c r="A12" s="133"/>
      <c r="B12" s="151"/>
      <c r="C12" s="152" t="s">
        <v>102</v>
      </c>
      <c r="D12" s="698"/>
      <c r="E12" s="157">
        <v>0</v>
      </c>
      <c r="F12" s="157">
        <v>0</v>
      </c>
      <c r="G12" s="153" t="s">
        <v>99</v>
      </c>
      <c r="H12" s="154"/>
      <c r="I12" s="154"/>
      <c r="J12" s="154"/>
      <c r="K12" s="155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  <c r="BI12" s="141"/>
      <c r="BJ12" s="141"/>
      <c r="BK12" s="141"/>
      <c r="BL12" s="141"/>
      <c r="BM12" s="141"/>
    </row>
    <row r="13" spans="1:67" ht="5.25" customHeight="1" outlineLevel="1" x14ac:dyDescent="0.2">
      <c r="A13" s="133"/>
      <c r="B13" s="158"/>
      <c r="C13" s="159"/>
      <c r="D13" s="160"/>
      <c r="E13" s="161"/>
      <c r="F13" s="161"/>
      <c r="G13" s="162"/>
      <c r="H13" s="163"/>
      <c r="I13" s="163"/>
      <c r="J13" s="163"/>
      <c r="K13" s="164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1"/>
      <c r="BG13" s="141"/>
      <c r="BH13" s="141"/>
      <c r="BI13" s="141"/>
      <c r="BJ13" s="141"/>
      <c r="BK13" s="141"/>
      <c r="BL13" s="141"/>
      <c r="BM13" s="141"/>
    </row>
    <row r="14" spans="1:67" ht="16.5" customHeight="1" outlineLevel="1" x14ac:dyDescent="0.2">
      <c r="A14" s="133"/>
      <c r="B14" s="151" t="s">
        <v>103</v>
      </c>
      <c r="C14" s="165" t="s">
        <v>104</v>
      </c>
      <c r="D14" s="698" t="s">
        <v>105</v>
      </c>
      <c r="E14" s="166">
        <v>0</v>
      </c>
      <c r="F14" s="167"/>
      <c r="G14" s="153" t="s">
        <v>106</v>
      </c>
      <c r="H14" s="154"/>
      <c r="I14" s="154"/>
      <c r="J14" s="154"/>
      <c r="K14" s="168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1"/>
      <c r="AZ14" s="141"/>
      <c r="BA14" s="141"/>
      <c r="BB14" s="141"/>
      <c r="BC14" s="141"/>
      <c r="BD14" s="141"/>
      <c r="BE14" s="141"/>
      <c r="BF14" s="141"/>
      <c r="BG14" s="141"/>
      <c r="BH14" s="141"/>
      <c r="BI14" s="141"/>
      <c r="BJ14" s="141"/>
      <c r="BK14" s="141"/>
      <c r="BL14" s="141"/>
      <c r="BM14" s="141"/>
    </row>
    <row r="15" spans="1:67" ht="16.5" customHeight="1" outlineLevel="1" x14ac:dyDescent="0.2">
      <c r="A15" s="133"/>
      <c r="B15" s="151" t="s">
        <v>107</v>
      </c>
      <c r="C15" s="165" t="s">
        <v>108</v>
      </c>
      <c r="D15" s="698"/>
      <c r="E15" s="1">
        <v>0</v>
      </c>
      <c r="F15" s="1">
        <f>PROJET!D19</f>
        <v>0</v>
      </c>
      <c r="G15" s="153" t="s">
        <v>106</v>
      </c>
      <c r="H15" s="169"/>
      <c r="I15" s="169"/>
      <c r="J15" s="169"/>
      <c r="K15" s="170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  <c r="AM15" s="171"/>
      <c r="AN15" s="171"/>
      <c r="AO15" s="171"/>
      <c r="AP15" s="171"/>
      <c r="AQ15" s="171"/>
      <c r="AR15" s="171"/>
      <c r="AS15" s="171"/>
      <c r="AT15" s="171"/>
      <c r="AU15" s="171"/>
      <c r="AV15" s="171"/>
      <c r="AW15" s="171"/>
      <c r="AX15" s="171"/>
      <c r="AY15" s="171"/>
      <c r="AZ15" s="171"/>
      <c r="BA15" s="171"/>
      <c r="BB15" s="171"/>
      <c r="BC15" s="171"/>
      <c r="BD15" s="171"/>
      <c r="BE15" s="171"/>
      <c r="BF15" s="171"/>
      <c r="BG15" s="171"/>
      <c r="BH15" s="171"/>
      <c r="BI15" s="171"/>
      <c r="BJ15" s="171"/>
      <c r="BK15" s="171"/>
      <c r="BL15" s="171"/>
      <c r="BM15" s="171"/>
    </row>
    <row r="16" spans="1:67" ht="16.5" customHeight="1" outlineLevel="1" x14ac:dyDescent="0.2">
      <c r="A16" s="133"/>
      <c r="B16" s="151" t="s">
        <v>109</v>
      </c>
      <c r="C16" s="165"/>
      <c r="D16" s="698"/>
      <c r="E16" s="1">
        <v>0</v>
      </c>
      <c r="F16" s="1">
        <v>0</v>
      </c>
      <c r="G16" s="153" t="s">
        <v>106</v>
      </c>
      <c r="H16" s="169"/>
      <c r="I16" s="169"/>
      <c r="J16" s="169"/>
      <c r="K16" s="170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K16" s="171"/>
      <c r="AL16" s="171"/>
      <c r="AM16" s="171"/>
      <c r="AN16" s="171"/>
      <c r="AO16" s="171"/>
      <c r="AP16" s="171"/>
      <c r="AQ16" s="171"/>
      <c r="AR16" s="171"/>
      <c r="AS16" s="171"/>
      <c r="AT16" s="171"/>
      <c r="AU16" s="171"/>
      <c r="AV16" s="171"/>
      <c r="AW16" s="171"/>
      <c r="AX16" s="171"/>
      <c r="AY16" s="171"/>
      <c r="AZ16" s="171"/>
      <c r="BA16" s="171"/>
      <c r="BB16" s="171"/>
      <c r="BC16" s="171"/>
      <c r="BD16" s="171"/>
      <c r="BE16" s="171"/>
      <c r="BF16" s="171"/>
      <c r="BG16" s="171"/>
      <c r="BH16" s="171"/>
      <c r="BI16" s="171"/>
      <c r="BJ16" s="171"/>
      <c r="BK16" s="171"/>
      <c r="BL16" s="171"/>
      <c r="BM16" s="171"/>
    </row>
    <row r="17" spans="1:65" ht="16.5" customHeight="1" outlineLevel="1" x14ac:dyDescent="0.2">
      <c r="A17" s="133"/>
      <c r="B17" s="151" t="s">
        <v>110</v>
      </c>
      <c r="C17" s="165" t="str">
        <f>PROJET!C10</f>
        <v>Bureaux</v>
      </c>
      <c r="D17" s="698"/>
      <c r="E17" s="1">
        <f>PROJET!C20</f>
        <v>0</v>
      </c>
      <c r="F17" s="1">
        <f>PROJET!D20</f>
        <v>0</v>
      </c>
      <c r="G17" s="153" t="s">
        <v>106</v>
      </c>
      <c r="H17" s="169"/>
      <c r="I17" s="169"/>
      <c r="J17" s="169"/>
      <c r="K17" s="170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171"/>
      <c r="AS17" s="171"/>
      <c r="AT17" s="171"/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171"/>
      <c r="BH17" s="171"/>
      <c r="BI17" s="171"/>
      <c r="BJ17" s="171"/>
      <c r="BK17" s="171"/>
      <c r="BL17" s="171"/>
      <c r="BM17" s="171"/>
    </row>
    <row r="18" spans="1:65" ht="16.5" customHeight="1" outlineLevel="1" x14ac:dyDescent="0.2">
      <c r="A18" s="133"/>
      <c r="B18" s="172"/>
      <c r="C18" s="173" t="s">
        <v>111</v>
      </c>
      <c r="D18" s="698"/>
      <c r="E18" s="167">
        <f>SUM(E15:E17)</f>
        <v>0</v>
      </c>
      <c r="F18" s="167">
        <f>SUM(F15:F17)</f>
        <v>0</v>
      </c>
      <c r="G18" s="153" t="s">
        <v>106</v>
      </c>
      <c r="H18" s="169"/>
      <c r="I18" s="169"/>
      <c r="J18" s="169"/>
      <c r="K18" s="170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1"/>
      <c r="AO18" s="171"/>
      <c r="AP18" s="171"/>
      <c r="AQ18" s="171"/>
      <c r="AR18" s="171"/>
      <c r="AS18" s="171"/>
      <c r="AT18" s="171"/>
      <c r="AU18" s="171"/>
      <c r="AV18" s="171"/>
      <c r="AW18" s="171"/>
      <c r="AX18" s="171"/>
      <c r="AY18" s="171"/>
      <c r="AZ18" s="171"/>
      <c r="BA18" s="171"/>
      <c r="BB18" s="171"/>
      <c r="BC18" s="171"/>
      <c r="BD18" s="171"/>
      <c r="BE18" s="171"/>
      <c r="BF18" s="171"/>
      <c r="BG18" s="171"/>
      <c r="BH18" s="171"/>
      <c r="BI18" s="171"/>
      <c r="BJ18" s="171"/>
      <c r="BK18" s="171"/>
      <c r="BL18" s="171"/>
      <c r="BM18" s="171"/>
    </row>
    <row r="19" spans="1:65" ht="16.5" customHeight="1" outlineLevel="1" x14ac:dyDescent="0.2">
      <c r="A19" s="133"/>
      <c r="B19" s="151" t="s">
        <v>112</v>
      </c>
      <c r="C19" s="174"/>
      <c r="D19" s="698"/>
      <c r="E19" s="699">
        <v>0</v>
      </c>
      <c r="F19" s="699"/>
      <c r="G19" s="153" t="s">
        <v>106</v>
      </c>
      <c r="H19" s="154"/>
      <c r="I19" s="154"/>
      <c r="J19" s="154"/>
      <c r="K19" s="155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141"/>
      <c r="BE19" s="141"/>
      <c r="BF19" s="141"/>
      <c r="BG19" s="141"/>
      <c r="BH19" s="141"/>
      <c r="BI19" s="141"/>
      <c r="BJ19" s="141"/>
      <c r="BK19" s="141"/>
      <c r="BL19" s="141"/>
      <c r="BM19" s="141"/>
    </row>
    <row r="20" spans="1:65" ht="5.25" customHeight="1" outlineLevel="1" x14ac:dyDescent="0.2">
      <c r="A20" s="133"/>
      <c r="B20" s="158"/>
      <c r="C20" s="159"/>
      <c r="D20" s="160"/>
      <c r="E20" s="161"/>
      <c r="F20" s="161"/>
      <c r="G20" s="162"/>
      <c r="H20" s="163"/>
      <c r="I20" s="163"/>
      <c r="J20" s="163"/>
      <c r="K20" s="164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141"/>
      <c r="BE20" s="141"/>
      <c r="BF20" s="141"/>
      <c r="BG20" s="141"/>
      <c r="BH20" s="141"/>
      <c r="BI20" s="141"/>
      <c r="BJ20" s="141"/>
      <c r="BK20" s="141"/>
      <c r="BL20" s="141"/>
      <c r="BM20" s="141"/>
    </row>
    <row r="21" spans="1:65" ht="16.5" customHeight="1" outlineLevel="1" x14ac:dyDescent="0.2">
      <c r="A21" s="133"/>
      <c r="B21" s="175" t="s">
        <v>113</v>
      </c>
      <c r="C21" s="156" t="str">
        <f>IF(PROJET!G20="Extérieurs",CONCATENATE("surface créée (ou rénovée) / ",PROJET!G21," places"),"surface créée (ou rénovée)")</f>
        <v>surface créée (ou rénovée)</v>
      </c>
      <c r="D21" s="698" t="s">
        <v>114</v>
      </c>
      <c r="E21" s="700">
        <v>0</v>
      </c>
      <c r="F21" s="700"/>
      <c r="G21" s="153" t="s">
        <v>106</v>
      </c>
      <c r="H21" s="154"/>
      <c r="I21" s="154"/>
      <c r="J21" s="154"/>
      <c r="K21" s="176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1"/>
      <c r="BA21" s="141"/>
      <c r="BB21" s="141"/>
      <c r="BC21" s="141"/>
      <c r="BD21" s="141"/>
      <c r="BE21" s="141"/>
      <c r="BF21" s="141"/>
      <c r="BG21" s="141"/>
      <c r="BH21" s="141"/>
      <c r="BI21" s="141"/>
      <c r="BJ21" s="141"/>
      <c r="BK21" s="141"/>
      <c r="BL21" s="141"/>
      <c r="BM21" s="141"/>
    </row>
    <row r="22" spans="1:65" ht="16.5" customHeight="1" outlineLevel="1" x14ac:dyDescent="0.2">
      <c r="A22" s="133"/>
      <c r="B22" s="175" t="s">
        <v>115</v>
      </c>
      <c r="C22" s="156" t="s">
        <v>116</v>
      </c>
      <c r="D22" s="698"/>
      <c r="E22" s="700">
        <v>0</v>
      </c>
      <c r="F22" s="700"/>
      <c r="G22" s="153" t="s">
        <v>106</v>
      </c>
      <c r="H22" s="154"/>
      <c r="I22" s="154"/>
      <c r="J22" s="154"/>
      <c r="K22" s="176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  <c r="BI22" s="141"/>
      <c r="BJ22" s="141"/>
      <c r="BK22" s="141"/>
      <c r="BL22" s="141"/>
      <c r="BM22" s="141"/>
    </row>
    <row r="23" spans="1:65" ht="16.5" customHeight="1" outlineLevel="1" x14ac:dyDescent="0.2">
      <c r="A23" s="133"/>
      <c r="B23" s="175" t="s">
        <v>117</v>
      </c>
      <c r="C23" s="152" t="s">
        <v>118</v>
      </c>
      <c r="D23" s="698"/>
      <c r="E23" s="1">
        <v>0</v>
      </c>
      <c r="F23" s="1">
        <v>0</v>
      </c>
      <c r="G23" s="153" t="s">
        <v>106</v>
      </c>
      <c r="H23" s="154"/>
      <c r="I23" s="154"/>
      <c r="J23" s="154"/>
      <c r="K23" s="176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41"/>
      <c r="BB23" s="141"/>
      <c r="BC23" s="141"/>
      <c r="BD23" s="141"/>
      <c r="BE23" s="141"/>
      <c r="BF23" s="141"/>
      <c r="BG23" s="141"/>
      <c r="BH23" s="141"/>
      <c r="BI23" s="141"/>
      <c r="BJ23" s="141"/>
      <c r="BK23" s="141"/>
      <c r="BL23" s="141"/>
      <c r="BM23" s="141"/>
    </row>
    <row r="24" spans="1:65" ht="16.5" customHeight="1" outlineLevel="1" x14ac:dyDescent="0.2">
      <c r="A24" s="133"/>
      <c r="B24" s="175" t="s">
        <v>104</v>
      </c>
      <c r="C24" s="152" t="s">
        <v>119</v>
      </c>
      <c r="D24" s="698"/>
      <c r="E24" s="1">
        <v>0</v>
      </c>
      <c r="F24" s="1">
        <v>0</v>
      </c>
      <c r="G24" s="153" t="s">
        <v>106</v>
      </c>
      <c r="H24" s="154"/>
      <c r="I24" s="154"/>
      <c r="J24" s="154"/>
      <c r="K24" s="176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  <c r="AM24" s="141"/>
      <c r="AN24" s="141"/>
      <c r="AO24" s="141"/>
      <c r="AP24" s="141"/>
      <c r="AQ24" s="141"/>
      <c r="AR24" s="141"/>
      <c r="AS24" s="141"/>
      <c r="AT24" s="141"/>
      <c r="AU24" s="141"/>
      <c r="AV24" s="141"/>
      <c r="AW24" s="141"/>
      <c r="AX24" s="141"/>
      <c r="AY24" s="141"/>
      <c r="AZ24" s="141"/>
      <c r="BA24" s="141"/>
      <c r="BB24" s="141"/>
      <c r="BC24" s="141"/>
      <c r="BD24" s="141"/>
      <c r="BE24" s="141"/>
      <c r="BF24" s="141"/>
      <c r="BG24" s="141"/>
      <c r="BH24" s="141"/>
      <c r="BI24" s="141"/>
      <c r="BJ24" s="141"/>
      <c r="BK24" s="141"/>
      <c r="BL24" s="141"/>
      <c r="BM24" s="141"/>
    </row>
    <row r="25" spans="1:65" ht="16.5" customHeight="1" outlineLevel="1" x14ac:dyDescent="0.2">
      <c r="A25" s="133"/>
      <c r="B25" s="175" t="s">
        <v>120</v>
      </c>
      <c r="C25" s="152" t="s">
        <v>121</v>
      </c>
      <c r="D25" s="698"/>
      <c r="E25" s="1">
        <v>0</v>
      </c>
      <c r="F25" s="1">
        <v>0</v>
      </c>
      <c r="G25" s="153" t="s">
        <v>106</v>
      </c>
      <c r="H25" s="154"/>
      <c r="I25" s="154"/>
      <c r="J25" s="154"/>
      <c r="K25" s="176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  <c r="AM25" s="141"/>
      <c r="AN25" s="141"/>
      <c r="AO25" s="141"/>
      <c r="AP25" s="141"/>
      <c r="AQ25" s="141"/>
      <c r="AR25" s="141"/>
      <c r="AS25" s="141"/>
      <c r="AT25" s="141"/>
      <c r="AU25" s="141"/>
      <c r="AV25" s="141"/>
      <c r="AW25" s="141"/>
      <c r="AX25" s="141"/>
      <c r="AY25" s="141"/>
      <c r="AZ25" s="141"/>
      <c r="BA25" s="141"/>
      <c r="BB25" s="141"/>
      <c r="BC25" s="141"/>
      <c r="BD25" s="141"/>
      <c r="BE25" s="141"/>
      <c r="BF25" s="141"/>
      <c r="BG25" s="141"/>
      <c r="BH25" s="141"/>
      <c r="BI25" s="141"/>
      <c r="BJ25" s="141"/>
      <c r="BK25" s="141"/>
      <c r="BL25" s="141"/>
      <c r="BM25" s="141"/>
    </row>
    <row r="26" spans="1:65" ht="16.5" customHeight="1" outlineLevel="1" x14ac:dyDescent="0.2">
      <c r="A26" s="133"/>
      <c r="B26" s="175" t="s">
        <v>122</v>
      </c>
      <c r="C26" s="152" t="s">
        <v>121</v>
      </c>
      <c r="D26" s="698"/>
      <c r="E26" s="1">
        <v>0</v>
      </c>
      <c r="F26" s="1">
        <v>0</v>
      </c>
      <c r="G26" s="153" t="s">
        <v>106</v>
      </c>
      <c r="H26" s="154"/>
      <c r="I26" s="154"/>
      <c r="J26" s="154"/>
      <c r="K26" s="176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  <c r="AY26" s="141"/>
      <c r="AZ26" s="141"/>
      <c r="BA26" s="141"/>
      <c r="BB26" s="141"/>
      <c r="BC26" s="141"/>
      <c r="BD26" s="141"/>
      <c r="BE26" s="141"/>
      <c r="BF26" s="141"/>
      <c r="BG26" s="141"/>
      <c r="BH26" s="141"/>
      <c r="BI26" s="141"/>
      <c r="BJ26" s="141"/>
      <c r="BK26" s="141"/>
      <c r="BL26" s="141"/>
      <c r="BM26" s="141"/>
    </row>
    <row r="27" spans="1:65" ht="16.5" customHeight="1" outlineLevel="1" x14ac:dyDescent="0.2">
      <c r="A27" s="133"/>
      <c r="B27" s="175" t="s">
        <v>123</v>
      </c>
      <c r="C27" s="152" t="s">
        <v>121</v>
      </c>
      <c r="D27" s="698"/>
      <c r="E27" s="1">
        <v>0</v>
      </c>
      <c r="F27" s="1">
        <v>0</v>
      </c>
      <c r="G27" s="153" t="s">
        <v>106</v>
      </c>
      <c r="H27" s="154"/>
      <c r="I27" s="154"/>
      <c r="J27" s="154"/>
      <c r="K27" s="176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1"/>
      <c r="BD27" s="141"/>
      <c r="BE27" s="141"/>
      <c r="BF27" s="141"/>
      <c r="BG27" s="141"/>
      <c r="BH27" s="141"/>
      <c r="BI27" s="141"/>
      <c r="BJ27" s="141"/>
      <c r="BK27" s="141"/>
      <c r="BL27" s="141"/>
      <c r="BM27" s="141"/>
    </row>
    <row r="28" spans="1:65" ht="16.5" customHeight="1" outlineLevel="1" x14ac:dyDescent="0.2">
      <c r="A28" s="133"/>
      <c r="B28" s="175" t="s">
        <v>124</v>
      </c>
      <c r="C28" s="152" t="s">
        <v>121</v>
      </c>
      <c r="D28" s="698"/>
      <c r="E28" s="1">
        <v>0</v>
      </c>
      <c r="F28" s="1">
        <v>0</v>
      </c>
      <c r="G28" s="153" t="s">
        <v>106</v>
      </c>
      <c r="H28" s="154"/>
      <c r="I28" s="154"/>
      <c r="J28" s="154"/>
      <c r="K28" s="176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41"/>
      <c r="AZ28" s="141"/>
      <c r="BA28" s="141"/>
      <c r="BB28" s="141"/>
      <c r="BC28" s="141"/>
      <c r="BD28" s="141"/>
      <c r="BE28" s="141"/>
      <c r="BF28" s="141"/>
      <c r="BG28" s="141"/>
      <c r="BH28" s="141"/>
      <c r="BI28" s="141"/>
      <c r="BJ28" s="141"/>
      <c r="BK28" s="141"/>
      <c r="BL28" s="141"/>
      <c r="BM28" s="141"/>
    </row>
    <row r="29" spans="1:65" ht="5.25" customHeight="1" outlineLevel="1" x14ac:dyDescent="0.2">
      <c r="A29" s="133"/>
      <c r="B29" s="177"/>
      <c r="C29" s="171"/>
      <c r="D29" s="178"/>
      <c r="E29" s="179"/>
      <c r="F29" s="179"/>
      <c r="G29" s="180"/>
      <c r="H29" s="163"/>
      <c r="I29" s="163"/>
      <c r="J29" s="163"/>
      <c r="K29" s="163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  <c r="BI29" s="141"/>
      <c r="BJ29" s="141"/>
      <c r="BK29" s="141"/>
      <c r="BL29" s="141"/>
      <c r="BM29" s="141"/>
    </row>
    <row r="30" spans="1:65" ht="16.5" customHeight="1" outlineLevel="1" x14ac:dyDescent="0.2">
      <c r="A30" s="133"/>
      <c r="B30" s="175" t="s">
        <v>125</v>
      </c>
      <c r="C30" s="152"/>
      <c r="D30" s="698" t="s">
        <v>126</v>
      </c>
      <c r="E30" s="181">
        <f>IF(E24=0,0,E18/E24)</f>
        <v>0</v>
      </c>
      <c r="F30" s="181">
        <f>IF(F24=0,0,F18/F24)</f>
        <v>0</v>
      </c>
      <c r="G30" s="182"/>
      <c r="H30" s="154"/>
      <c r="I30" s="154"/>
      <c r="J30" s="154"/>
      <c r="K30" s="183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  <c r="BB30" s="141"/>
      <c r="BC30" s="141"/>
      <c r="BD30" s="141"/>
      <c r="BE30" s="141"/>
      <c r="BF30" s="141"/>
      <c r="BG30" s="141"/>
      <c r="BH30" s="141"/>
      <c r="BI30" s="141"/>
      <c r="BJ30" s="141"/>
      <c r="BK30" s="141"/>
      <c r="BL30" s="141"/>
      <c r="BM30" s="141"/>
    </row>
    <row r="31" spans="1:65" ht="16.5" customHeight="1" outlineLevel="1" x14ac:dyDescent="0.2">
      <c r="A31" s="133"/>
      <c r="B31" s="175" t="s">
        <v>127</v>
      </c>
      <c r="C31" s="156" t="s">
        <v>128</v>
      </c>
      <c r="D31" s="698"/>
      <c r="E31" s="181">
        <f>IF(E24=0,0,E26/E24)</f>
        <v>0</v>
      </c>
      <c r="F31" s="181">
        <f>IF(F24=0,0,F26/F24)</f>
        <v>0</v>
      </c>
      <c r="G31" s="182"/>
      <c r="H31" s="154"/>
      <c r="I31" s="154"/>
      <c r="J31" s="154"/>
      <c r="K31" s="183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1"/>
      <c r="BM31" s="141"/>
    </row>
    <row r="32" spans="1:65" x14ac:dyDescent="0.2">
      <c r="A32" s="133"/>
      <c r="B32" s="140"/>
      <c r="C32" s="141"/>
      <c r="D32" s="142"/>
      <c r="E32" s="141"/>
      <c r="F32" s="143"/>
      <c r="G32" s="142"/>
      <c r="H32" s="144"/>
      <c r="I32" s="144"/>
      <c r="J32" s="144"/>
      <c r="K32" s="141"/>
      <c r="L32" s="109"/>
      <c r="M32" s="109"/>
      <c r="N32" s="109"/>
      <c r="O32" s="109"/>
      <c r="P32" s="109"/>
      <c r="Q32" s="109"/>
      <c r="R32" s="109"/>
      <c r="S32" s="109"/>
    </row>
    <row r="33" spans="1:65" ht="38.25" customHeight="1" x14ac:dyDescent="0.2">
      <c r="A33" s="133"/>
      <c r="B33" s="184" t="s">
        <v>129</v>
      </c>
      <c r="C33" s="185"/>
      <c r="D33" s="186" t="str">
        <f>D$7</f>
        <v>GUIDE</v>
      </c>
      <c r="E33" s="187" t="str">
        <f>E$7</f>
        <v>BATIMENT(S) NEUF(S)
OU EXTENSION(S)</v>
      </c>
      <c r="F33" s="187" t="str">
        <f>F$7</f>
        <v>BATIMENT(S)
RENOVÉ(S)</v>
      </c>
      <c r="G33" s="188" t="s">
        <v>93</v>
      </c>
      <c r="H33" s="189" t="s">
        <v>130</v>
      </c>
      <c r="I33" s="189" t="s">
        <v>131</v>
      </c>
      <c r="J33" s="190" t="s">
        <v>132</v>
      </c>
      <c r="K33" s="186" t="str">
        <f>K$7</f>
        <v>COMMENTAIRE</v>
      </c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  <c r="BI33" s="139"/>
      <c r="BJ33" s="139"/>
      <c r="BK33" s="139"/>
      <c r="BL33" s="139"/>
      <c r="BM33" s="139"/>
    </row>
    <row r="34" spans="1:65" ht="6.75" customHeight="1" x14ac:dyDescent="0.2">
      <c r="A34" s="133"/>
      <c r="B34" s="140"/>
      <c r="C34" s="141"/>
      <c r="D34" s="142"/>
      <c r="E34" s="141"/>
      <c r="F34" s="143"/>
      <c r="G34" s="142"/>
      <c r="H34" s="144"/>
      <c r="I34" s="144"/>
      <c r="J34" s="179"/>
      <c r="K34" s="141"/>
      <c r="L34" s="109"/>
      <c r="M34" s="109"/>
      <c r="N34" s="109"/>
      <c r="O34" s="109"/>
      <c r="P34" s="109"/>
      <c r="Q34" s="109"/>
      <c r="R34" s="109"/>
      <c r="S34" s="109"/>
    </row>
    <row r="35" spans="1:65" ht="16.5" customHeight="1" outlineLevel="1" x14ac:dyDescent="0.2">
      <c r="A35" s="133"/>
      <c r="B35" s="191" t="s">
        <v>133</v>
      </c>
      <c r="C35" s="192"/>
      <c r="D35" s="192" t="s">
        <v>134</v>
      </c>
      <c r="E35" s="193"/>
      <c r="F35" s="193"/>
      <c r="G35" s="194"/>
      <c r="H35" s="195"/>
      <c r="I35" s="195"/>
      <c r="J35" s="193"/>
      <c r="K35" s="196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  <c r="AO35" s="141"/>
      <c r="AP35" s="141"/>
      <c r="AQ35" s="141"/>
      <c r="AR35" s="141"/>
      <c r="AS35" s="141"/>
      <c r="AT35" s="141"/>
      <c r="AU35" s="141"/>
      <c r="AV35" s="141"/>
      <c r="AW35" s="141"/>
      <c r="AX35" s="141"/>
      <c r="AY35" s="141"/>
      <c r="AZ35" s="141"/>
      <c r="BA35" s="141"/>
      <c r="BB35" s="141"/>
      <c r="BC35" s="141"/>
      <c r="BD35" s="141"/>
      <c r="BE35" s="141"/>
      <c r="BF35" s="141"/>
      <c r="BG35" s="141"/>
      <c r="BH35" s="141"/>
      <c r="BI35" s="141"/>
      <c r="BJ35" s="141"/>
      <c r="BK35" s="141"/>
      <c r="BL35" s="141"/>
      <c r="BM35" s="141"/>
    </row>
    <row r="36" spans="1:65" ht="16.5" customHeight="1" outlineLevel="2" x14ac:dyDescent="0.2">
      <c r="A36" s="133"/>
      <c r="B36" s="197" t="s">
        <v>135</v>
      </c>
      <c r="C36" s="198" t="s">
        <v>136</v>
      </c>
      <c r="D36" s="198"/>
      <c r="E36" s="701">
        <v>0</v>
      </c>
      <c r="F36" s="701"/>
      <c r="G36" s="200" t="s">
        <v>137</v>
      </c>
      <c r="H36" s="201" t="e">
        <f>$E36*Données!$D79*E$18/($E$18+$F$18)</f>
        <v>#DIV/0!</v>
      </c>
      <c r="I36" s="201" t="e">
        <f>$E36*Données!$D79*F$18/($E$18+$F$18)</f>
        <v>#DIV/0!</v>
      </c>
      <c r="J36" s="202"/>
      <c r="K36" s="203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1"/>
      <c r="AT36" s="141"/>
      <c r="AU36" s="141"/>
      <c r="AV36" s="141"/>
      <c r="AW36" s="141"/>
      <c r="AX36" s="141"/>
      <c r="AY36" s="141"/>
      <c r="AZ36" s="141"/>
      <c r="BA36" s="141"/>
      <c r="BB36" s="141"/>
      <c r="BC36" s="141"/>
      <c r="BD36" s="141"/>
      <c r="BE36" s="141"/>
      <c r="BF36" s="141"/>
      <c r="BG36" s="141"/>
      <c r="BH36" s="141"/>
      <c r="BI36" s="141"/>
      <c r="BJ36" s="141"/>
      <c r="BK36" s="141"/>
      <c r="BL36" s="141"/>
      <c r="BM36" s="141"/>
    </row>
    <row r="37" spans="1:65" ht="5.25" customHeight="1" outlineLevel="2" x14ac:dyDescent="0.2">
      <c r="A37" s="133"/>
      <c r="B37" s="204"/>
      <c r="C37" s="205"/>
      <c r="D37" s="205"/>
      <c r="E37" s="206"/>
      <c r="F37" s="206"/>
      <c r="G37" s="207"/>
      <c r="H37" s="206"/>
      <c r="I37" s="206"/>
      <c r="J37" s="206"/>
      <c r="K37" s="164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</row>
    <row r="38" spans="1:65" ht="16.5" customHeight="1" outlineLevel="2" x14ac:dyDescent="0.2">
      <c r="A38" s="133"/>
      <c r="B38" s="197" t="s">
        <v>138</v>
      </c>
      <c r="C38" s="208" t="s">
        <v>139</v>
      </c>
      <c r="D38" s="702"/>
      <c r="E38" s="703">
        <v>0</v>
      </c>
      <c r="F38" s="703"/>
      <c r="G38" s="211" t="s">
        <v>140</v>
      </c>
      <c r="H38" s="212" t="e">
        <f>$E38*$E$19*VLOOKUP($C38,Données!$B$80:$G$84,3,FALSE())*E$18/($E$18+$F$18)</f>
        <v>#DIV/0!</v>
      </c>
      <c r="I38" s="212" t="e">
        <f>$E38*$E$19*VLOOKUP($C38,Données!$B$80:$G$84,3,FALSE())*F$18/($E$18+$F$18)</f>
        <v>#DIV/0!</v>
      </c>
      <c r="J38" s="213"/>
      <c r="K38" s="214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1"/>
      <c r="AN38" s="141"/>
      <c r="AO38" s="141"/>
      <c r="AP38" s="141"/>
      <c r="AQ38" s="141"/>
      <c r="AR38" s="141"/>
      <c r="AS38" s="141"/>
      <c r="AT38" s="141"/>
      <c r="AU38" s="141"/>
      <c r="AV38" s="141"/>
      <c r="AW38" s="141"/>
      <c r="AX38" s="141"/>
      <c r="AY38" s="141"/>
      <c r="AZ38" s="141"/>
      <c r="BA38" s="141"/>
      <c r="BB38" s="141"/>
      <c r="BC38" s="141"/>
      <c r="BD38" s="141"/>
      <c r="BE38" s="141"/>
      <c r="BF38" s="141"/>
      <c r="BG38" s="141"/>
      <c r="BH38" s="141"/>
      <c r="BI38" s="141"/>
      <c r="BJ38" s="141"/>
      <c r="BK38" s="141"/>
      <c r="BL38" s="141"/>
      <c r="BM38" s="141"/>
    </row>
    <row r="39" spans="1:65" ht="16.5" customHeight="1" outlineLevel="2" x14ac:dyDescent="0.2">
      <c r="A39" s="133"/>
      <c r="B39" s="215" t="str">
        <f>IF(SUM(E38:E39)&gt;1,"somme &gt; 100%","")</f>
        <v/>
      </c>
      <c r="C39" s="208" t="s">
        <v>139</v>
      </c>
      <c r="D39" s="702"/>
      <c r="E39" s="703"/>
      <c r="F39" s="703"/>
      <c r="G39" s="211" t="str">
        <f>IF(C39="-","",G38)</f>
        <v/>
      </c>
      <c r="H39" s="212" t="str">
        <f>IF($E39="","",$E39*$E$19*VLOOKUP($C39,Données!$B$80:$G$84,3,FALSE())*E$18/($E$18+$F$18))</f>
        <v/>
      </c>
      <c r="I39" s="212" t="str">
        <f>IF($E39="","",$E39*$E$19*VLOOKUP($C39,Données!$B$80:$G$84,3,FALSE())*F$18/($E$18+$F$18))</f>
        <v/>
      </c>
      <c r="J39" s="213"/>
      <c r="K39" s="214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1"/>
      <c r="BM39" s="141"/>
    </row>
    <row r="40" spans="1:65" ht="5.25" customHeight="1" outlineLevel="2" x14ac:dyDescent="0.2">
      <c r="A40" s="133"/>
      <c r="B40" s="204"/>
      <c r="C40" s="205"/>
      <c r="D40" s="205"/>
      <c r="E40" s="206"/>
      <c r="F40" s="206"/>
      <c r="G40" s="207"/>
      <c r="H40" s="206"/>
      <c r="I40" s="206"/>
      <c r="J40" s="206"/>
      <c r="K40" s="164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  <c r="BI40" s="141"/>
      <c r="BJ40" s="141"/>
      <c r="BK40" s="141"/>
      <c r="BL40" s="141"/>
      <c r="BM40" s="141"/>
    </row>
    <row r="41" spans="1:65" ht="16.5" customHeight="1" outlineLevel="2" x14ac:dyDescent="0.2">
      <c r="A41" s="133"/>
      <c r="B41" s="197" t="s">
        <v>141</v>
      </c>
      <c r="C41" s="209" t="s">
        <v>142</v>
      </c>
      <c r="D41" s="209"/>
      <c r="E41" s="700" t="s">
        <v>139</v>
      </c>
      <c r="F41" s="700"/>
      <c r="G41" s="211" t="s">
        <v>143</v>
      </c>
      <c r="H41" s="212">
        <f>VLOOKUP($E41,Données!$B$85:$G$87,3,FALSE())*E$24</f>
        <v>0</v>
      </c>
      <c r="I41" s="212">
        <f>VLOOKUP($E41,Données!$B$85:$G$87,5,FALSE())*F$24</f>
        <v>0</v>
      </c>
      <c r="J41" s="213"/>
      <c r="K41" s="176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41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  <c r="BF41" s="141"/>
      <c r="BG41" s="141"/>
      <c r="BH41" s="141"/>
      <c r="BI41" s="141"/>
      <c r="BJ41" s="141"/>
      <c r="BK41" s="141"/>
      <c r="BL41" s="141"/>
      <c r="BM41" s="141"/>
    </row>
    <row r="42" spans="1:65" ht="13.5" outlineLevel="1" x14ac:dyDescent="0.2">
      <c r="A42" s="133"/>
      <c r="B42" s="216"/>
      <c r="C42" s="178"/>
      <c r="D42" s="178"/>
      <c r="E42" s="179"/>
      <c r="F42" s="179"/>
      <c r="G42" s="217"/>
      <c r="H42" s="179"/>
      <c r="I42" s="179"/>
      <c r="J42" s="179"/>
      <c r="K42" s="144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141"/>
      <c r="AM42" s="141"/>
      <c r="AN42" s="141"/>
      <c r="AO42" s="141"/>
      <c r="AP42" s="141"/>
      <c r="AQ42" s="141"/>
      <c r="AR42" s="141"/>
      <c r="AS42" s="141"/>
      <c r="AT42" s="141"/>
      <c r="AU42" s="141"/>
      <c r="AV42" s="141"/>
      <c r="AW42" s="141"/>
      <c r="AX42" s="141"/>
      <c r="AY42" s="141"/>
      <c r="AZ42" s="141"/>
      <c r="BA42" s="141"/>
      <c r="BB42" s="141"/>
      <c r="BC42" s="141"/>
      <c r="BD42" s="141"/>
      <c r="BE42" s="141"/>
      <c r="BF42" s="141"/>
      <c r="BG42" s="141"/>
      <c r="BH42" s="141"/>
      <c r="BI42" s="141"/>
      <c r="BJ42" s="141"/>
      <c r="BK42" s="141"/>
      <c r="BL42" s="141"/>
      <c r="BM42" s="141"/>
    </row>
    <row r="43" spans="1:65" ht="13.5" outlineLevel="1" x14ac:dyDescent="0.2">
      <c r="A43" s="133"/>
      <c r="B43" s="218" t="s">
        <v>144</v>
      </c>
      <c r="C43" s="192"/>
      <c r="D43" s="192" t="s">
        <v>145</v>
      </c>
      <c r="E43" s="193"/>
      <c r="F43" s="193"/>
      <c r="G43" s="219"/>
      <c r="H43" s="193"/>
      <c r="I43" s="220" t="s">
        <v>146</v>
      </c>
      <c r="J43" s="221">
        <f>IF(PROJET!$D$15-PROJET!$D$16&lt;101,PROJET!$D$15-PROJET!$D$16,"")</f>
        <v>0</v>
      </c>
      <c r="K43" s="144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  <c r="AK43" s="141"/>
      <c r="AL43" s="141"/>
      <c r="AM43" s="141"/>
      <c r="AN43" s="141"/>
      <c r="AO43" s="141"/>
      <c r="AP43" s="141"/>
      <c r="AQ43" s="141"/>
      <c r="AR43" s="141"/>
      <c r="AS43" s="141"/>
      <c r="AT43" s="141"/>
      <c r="AU43" s="141"/>
      <c r="AV43" s="141"/>
      <c r="AW43" s="141"/>
      <c r="AX43" s="141"/>
      <c r="AY43" s="141"/>
      <c r="AZ43" s="141"/>
      <c r="BA43" s="141"/>
      <c r="BB43" s="141"/>
      <c r="BC43" s="141"/>
      <c r="BD43" s="141"/>
      <c r="BE43" s="141"/>
      <c r="BF43" s="141"/>
      <c r="BG43" s="141"/>
      <c r="BH43" s="141"/>
      <c r="BI43" s="141"/>
      <c r="BJ43" s="141"/>
      <c r="BK43" s="141"/>
      <c r="BL43" s="141"/>
      <c r="BM43" s="141"/>
    </row>
    <row r="44" spans="1:65" ht="13.5" outlineLevel="2" x14ac:dyDescent="0.2">
      <c r="A44" s="133"/>
      <c r="B44" s="197" t="s">
        <v>147</v>
      </c>
      <c r="C44" s="198" t="s">
        <v>148</v>
      </c>
      <c r="D44" s="198"/>
      <c r="E44" s="701">
        <v>0</v>
      </c>
      <c r="F44" s="701"/>
      <c r="G44" s="222" t="s">
        <v>106</v>
      </c>
      <c r="H44" s="201" t="e">
        <f>$E44*Données!$D89*E$18/($E$18+$F$18)</f>
        <v>#DIV/0!</v>
      </c>
      <c r="I44" s="201" t="e">
        <f>$E44*Données!$D89*F$18/($E$18+$F$18)</f>
        <v>#DIV/0!</v>
      </c>
      <c r="J44" s="201" t="b">
        <f>IF(J$43&gt;0,IF(J$43&gt;Données!G89,"",E44*Données!F89*(1-J$43/Données!G89)))</f>
        <v>0</v>
      </c>
      <c r="K44" s="144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141"/>
      <c r="AJ44" s="141"/>
      <c r="AK44" s="141"/>
      <c r="AL44" s="141"/>
      <c r="AM44" s="141"/>
      <c r="AN44" s="141"/>
      <c r="AO44" s="141"/>
      <c r="AP44" s="141"/>
      <c r="AQ44" s="141"/>
      <c r="AR44" s="141"/>
      <c r="AS44" s="141"/>
      <c r="AT44" s="141"/>
      <c r="AU44" s="141"/>
      <c r="AV44" s="141"/>
      <c r="AW44" s="141"/>
      <c r="AX44" s="141"/>
      <c r="AY44" s="141"/>
      <c r="AZ44" s="141"/>
      <c r="BA44" s="141"/>
      <c r="BB44" s="141"/>
      <c r="BC44" s="141"/>
      <c r="BD44" s="141"/>
      <c r="BE44" s="141"/>
      <c r="BF44" s="141"/>
      <c r="BG44" s="141"/>
      <c r="BH44" s="141"/>
      <c r="BI44" s="141"/>
      <c r="BJ44" s="141"/>
      <c r="BK44" s="141"/>
      <c r="BL44" s="141"/>
      <c r="BM44" s="141"/>
    </row>
    <row r="45" spans="1:65" ht="5.25" customHeight="1" outlineLevel="2" x14ac:dyDescent="0.2">
      <c r="A45" s="133"/>
      <c r="B45" s="223"/>
      <c r="C45" s="205"/>
      <c r="D45" s="205"/>
      <c r="E45" s="206"/>
      <c r="F45" s="206"/>
      <c r="G45" s="207"/>
      <c r="H45" s="206"/>
      <c r="I45" s="206"/>
      <c r="J45" s="206"/>
      <c r="K45" s="144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1"/>
      <c r="AL45" s="141"/>
      <c r="AM45" s="141"/>
      <c r="AN45" s="141"/>
      <c r="AO45" s="141"/>
      <c r="AP45" s="141"/>
      <c r="AQ45" s="141"/>
      <c r="AR45" s="141"/>
      <c r="AS45" s="141"/>
      <c r="AT45" s="141"/>
      <c r="AU45" s="141"/>
      <c r="AV45" s="141"/>
      <c r="AW45" s="141"/>
      <c r="AX45" s="141"/>
      <c r="AY45" s="141"/>
      <c r="AZ45" s="141"/>
      <c r="BA45" s="141"/>
      <c r="BB45" s="141"/>
      <c r="BC45" s="141"/>
      <c r="BD45" s="141"/>
      <c r="BE45" s="141"/>
      <c r="BF45" s="141"/>
      <c r="BG45" s="141"/>
      <c r="BH45" s="141"/>
      <c r="BI45" s="141"/>
      <c r="BJ45" s="141"/>
      <c r="BK45" s="141"/>
      <c r="BL45" s="141"/>
      <c r="BM45" s="141"/>
    </row>
    <row r="46" spans="1:65" ht="16.5" customHeight="1" outlineLevel="2" x14ac:dyDescent="0.2">
      <c r="A46" s="133"/>
      <c r="B46" s="197" t="s">
        <v>149</v>
      </c>
      <c r="C46" s="209" t="s">
        <v>150</v>
      </c>
      <c r="D46" s="209"/>
      <c r="E46" s="700">
        <v>0</v>
      </c>
      <c r="F46" s="700"/>
      <c r="G46" s="224" t="s">
        <v>151</v>
      </c>
      <c r="H46" s="212" t="e">
        <f>$E46*Données!$D90*E$18/($E$18+$F$18)</f>
        <v>#DIV/0!</v>
      </c>
      <c r="I46" s="212" t="e">
        <f>$E46*Données!$D90*F$18/($E$18+$F$18)</f>
        <v>#DIV/0!</v>
      </c>
      <c r="J46" s="213"/>
      <c r="K46" s="176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  <c r="AJ46" s="141"/>
      <c r="AK46" s="141"/>
      <c r="AL46" s="141"/>
      <c r="AM46" s="141"/>
      <c r="AN46" s="141"/>
      <c r="AO46" s="141"/>
      <c r="AP46" s="141"/>
      <c r="AQ46" s="141"/>
      <c r="AR46" s="141"/>
      <c r="AS46" s="141"/>
      <c r="AT46" s="141"/>
      <c r="AU46" s="141"/>
      <c r="AV46" s="141"/>
      <c r="AW46" s="141"/>
      <c r="AX46" s="141"/>
      <c r="AY46" s="141"/>
      <c r="AZ46" s="141"/>
      <c r="BA46" s="141"/>
      <c r="BB46" s="141"/>
      <c r="BC46" s="141"/>
      <c r="BD46" s="141"/>
      <c r="BE46" s="141"/>
      <c r="BF46" s="141"/>
      <c r="BG46" s="141"/>
      <c r="BH46" s="141"/>
      <c r="BI46" s="141"/>
      <c r="BJ46" s="141"/>
      <c r="BK46" s="141"/>
      <c r="BL46" s="141"/>
      <c r="BM46" s="141"/>
    </row>
    <row r="47" spans="1:65" ht="5.25" customHeight="1" outlineLevel="2" x14ac:dyDescent="0.2">
      <c r="A47" s="133"/>
      <c r="B47" s="223"/>
      <c r="C47" s="205"/>
      <c r="D47" s="205"/>
      <c r="E47" s="206"/>
      <c r="F47" s="206"/>
      <c r="G47" s="207"/>
      <c r="H47" s="206"/>
      <c r="I47" s="206"/>
      <c r="J47" s="206"/>
      <c r="K47" s="144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141"/>
      <c r="AR47" s="141"/>
      <c r="AS47" s="141"/>
      <c r="AT47" s="141"/>
      <c r="AU47" s="141"/>
      <c r="AV47" s="141"/>
      <c r="AW47" s="141"/>
      <c r="AX47" s="141"/>
      <c r="AY47" s="141"/>
      <c r="AZ47" s="141"/>
      <c r="BA47" s="141"/>
      <c r="BB47" s="141"/>
      <c r="BC47" s="141"/>
      <c r="BD47" s="141"/>
      <c r="BE47" s="141"/>
      <c r="BF47" s="141"/>
      <c r="BG47" s="141"/>
      <c r="BH47" s="141"/>
      <c r="BI47" s="141"/>
      <c r="BJ47" s="141"/>
      <c r="BK47" s="141"/>
      <c r="BL47" s="141"/>
      <c r="BM47" s="141"/>
    </row>
    <row r="48" spans="1:65" ht="13.5" outlineLevel="2" x14ac:dyDescent="0.2">
      <c r="A48" s="133"/>
      <c r="B48" s="197" t="s">
        <v>152</v>
      </c>
      <c r="C48" s="208" t="s">
        <v>139</v>
      </c>
      <c r="D48" s="702"/>
      <c r="E48" s="210">
        <v>0</v>
      </c>
      <c r="F48" s="225"/>
      <c r="G48" s="211" t="s">
        <v>153</v>
      </c>
      <c r="H48" s="212" t="e">
        <f>$E48*$E$14*VLOOKUP($C48,Données!$B$91:$G$95,3,FALSE())*E$18/($E$18+$F$18)</f>
        <v>#DIV/0!</v>
      </c>
      <c r="I48" s="212" t="e">
        <f>$E48*$E$14*VLOOKUP($C48,Données!$B$91:$G$95,3,FALSE())*F$18/($E$18+$F$18)</f>
        <v>#DIV/0!</v>
      </c>
      <c r="J48" s="212" t="b">
        <f>IF(J$43&gt;0,IF(J$43&gt;VLOOKUP($C48,Données!$B$91:$G$95,6,FALSE()),"",E48*E$14*VLOOKUP($C48,Données!$B$91:$G$95,5,FALSE())*(1-J$43/VLOOKUP($C48,Données!$B$91:$G$95,6,FALSE()))))</f>
        <v>0</v>
      </c>
      <c r="K48" s="144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41"/>
      <c r="AF48" s="141"/>
      <c r="AG48" s="141"/>
      <c r="AH48" s="141"/>
      <c r="AI48" s="141"/>
      <c r="AJ48" s="141"/>
      <c r="AK48" s="141"/>
      <c r="AL48" s="141"/>
      <c r="AM48" s="141"/>
      <c r="AN48" s="141"/>
      <c r="AO48" s="141"/>
      <c r="AP48" s="141"/>
      <c r="AQ48" s="141"/>
      <c r="AR48" s="141"/>
      <c r="AS48" s="141"/>
      <c r="AT48" s="141"/>
      <c r="AU48" s="141"/>
      <c r="AV48" s="141"/>
      <c r="AW48" s="141"/>
      <c r="AX48" s="141"/>
      <c r="AY48" s="141"/>
      <c r="AZ48" s="141"/>
      <c r="BA48" s="141"/>
      <c r="BB48" s="141"/>
      <c r="BC48" s="141"/>
      <c r="BD48" s="141"/>
      <c r="BE48" s="141"/>
      <c r="BF48" s="141"/>
      <c r="BG48" s="141"/>
      <c r="BH48" s="141"/>
      <c r="BI48" s="141"/>
      <c r="BJ48" s="141"/>
      <c r="BK48" s="141"/>
      <c r="BL48" s="141"/>
      <c r="BM48" s="141"/>
    </row>
    <row r="49" spans="1:65" ht="13.5" outlineLevel="2" x14ac:dyDescent="0.2">
      <c r="A49" s="133"/>
      <c r="B49" s="226" t="str">
        <f>IF(SUM(E48:E49)&gt;1,"somme &gt; 100%","")</f>
        <v/>
      </c>
      <c r="C49" s="208" t="s">
        <v>139</v>
      </c>
      <c r="D49" s="702"/>
      <c r="E49" s="210" t="str">
        <f>IF(E48=0%,"",IF(E48=1,"",1-E48))</f>
        <v/>
      </c>
      <c r="F49" s="225"/>
      <c r="G49" s="211" t="str">
        <f>IF(C49="-","",G48)</f>
        <v/>
      </c>
      <c r="H49" s="212" t="str">
        <f>IF($E49="","",$E49*$E$14*VLOOKUP($C49,Données!$B$91:$G$95,3,FALSE())*E$18/($E$18+$F$18))</f>
        <v/>
      </c>
      <c r="I49" s="212" t="str">
        <f>IF($E49="","",$E49*$E$14*VLOOKUP($C49,Données!$B$91:$G$95,3,FALSE())*F$18/($E$18+$F$18))</f>
        <v/>
      </c>
      <c r="J49" s="212" t="b">
        <f>IF(J$43&gt;0,IF($E49="","",IF(J$43&gt;VLOOKUP($C49,Données!$B$91:$G$95,6,FALSE()),"",E49*E$14*VLOOKUP($C49,Données!$B$91:$G$95,5,FALSE())*(1-J$43/VLOOKUP($C49,Données!$B$91:$G$95,6,FALSE())))))</f>
        <v>0</v>
      </c>
      <c r="K49" s="144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1"/>
      <c r="AK49" s="141"/>
      <c r="AL49" s="141"/>
      <c r="AM49" s="141"/>
      <c r="AN49" s="141"/>
      <c r="AO49" s="141"/>
      <c r="AP49" s="141"/>
      <c r="AQ49" s="141"/>
      <c r="AR49" s="141"/>
      <c r="AS49" s="141"/>
      <c r="AT49" s="141"/>
      <c r="AU49" s="141"/>
      <c r="AV49" s="141"/>
      <c r="AW49" s="141"/>
      <c r="AX49" s="141"/>
      <c r="AY49" s="141"/>
      <c r="AZ49" s="141"/>
      <c r="BA49" s="141"/>
      <c r="BB49" s="141"/>
      <c r="BC49" s="141"/>
      <c r="BD49" s="141"/>
      <c r="BE49" s="141"/>
      <c r="BF49" s="141"/>
      <c r="BG49" s="141"/>
      <c r="BH49" s="141"/>
      <c r="BI49" s="141"/>
      <c r="BJ49" s="141"/>
      <c r="BK49" s="141"/>
      <c r="BL49" s="141"/>
      <c r="BM49" s="141"/>
    </row>
    <row r="50" spans="1:65" ht="13.5" outlineLevel="1" x14ac:dyDescent="0.2">
      <c r="A50" s="133"/>
      <c r="B50" s="227"/>
      <c r="C50" s="178"/>
      <c r="D50" s="178"/>
      <c r="E50" s="179"/>
      <c r="F50" s="179"/>
      <c r="G50" s="217"/>
      <c r="H50" s="179"/>
      <c r="I50" s="179"/>
      <c r="J50" s="179"/>
      <c r="K50" s="144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  <c r="AG50" s="141"/>
      <c r="AH50" s="141"/>
      <c r="AI50" s="141"/>
      <c r="AJ50" s="141"/>
      <c r="AK50" s="141"/>
      <c r="AL50" s="141"/>
      <c r="AM50" s="141"/>
      <c r="AN50" s="141"/>
      <c r="AO50" s="141"/>
      <c r="AP50" s="141"/>
      <c r="AQ50" s="141"/>
      <c r="AR50" s="141"/>
      <c r="AS50" s="141"/>
      <c r="AT50" s="141"/>
      <c r="AU50" s="141"/>
      <c r="AV50" s="141"/>
      <c r="AW50" s="141"/>
      <c r="AX50" s="141"/>
      <c r="AY50" s="141"/>
      <c r="AZ50" s="141"/>
      <c r="BA50" s="141"/>
      <c r="BB50" s="141"/>
      <c r="BC50" s="141"/>
      <c r="BD50" s="141"/>
      <c r="BE50" s="141"/>
      <c r="BF50" s="141"/>
      <c r="BG50" s="141"/>
      <c r="BH50" s="141"/>
      <c r="BI50" s="141"/>
      <c r="BJ50" s="141"/>
      <c r="BK50" s="141"/>
      <c r="BL50" s="141"/>
      <c r="BM50" s="141"/>
    </row>
    <row r="51" spans="1:65" ht="16.5" customHeight="1" outlineLevel="1" x14ac:dyDescent="0.2">
      <c r="A51" s="133"/>
      <c r="B51" s="218" t="s">
        <v>154</v>
      </c>
      <c r="C51" s="192"/>
      <c r="D51" s="192" t="s">
        <v>155</v>
      </c>
      <c r="E51" s="193"/>
      <c r="F51" s="193"/>
      <c r="G51" s="219"/>
      <c r="H51" s="193"/>
      <c r="I51" s="193"/>
      <c r="J51" s="193"/>
      <c r="K51" s="196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1"/>
      <c r="AK51" s="141"/>
      <c r="AL51" s="141"/>
      <c r="AM51" s="141"/>
      <c r="AN51" s="141"/>
      <c r="AO51" s="141"/>
      <c r="AP51" s="141"/>
      <c r="AQ51" s="141"/>
      <c r="AR51" s="141"/>
      <c r="AS51" s="141"/>
      <c r="AT51" s="141"/>
      <c r="AU51" s="141"/>
      <c r="AV51" s="141"/>
      <c r="AW51" s="141"/>
      <c r="AX51" s="141"/>
      <c r="AY51" s="141"/>
      <c r="AZ51" s="141"/>
      <c r="BA51" s="141"/>
      <c r="BB51" s="141"/>
      <c r="BC51" s="141"/>
      <c r="BD51" s="141"/>
      <c r="BE51" s="141"/>
      <c r="BF51" s="141"/>
      <c r="BG51" s="141"/>
      <c r="BH51" s="141"/>
      <c r="BI51" s="141"/>
      <c r="BJ51" s="141"/>
      <c r="BK51" s="141"/>
      <c r="BL51" s="141"/>
      <c r="BM51" s="141"/>
    </row>
    <row r="52" spans="1:65" ht="16.5" customHeight="1" outlineLevel="2" x14ac:dyDescent="0.2">
      <c r="A52" s="133"/>
      <c r="B52" s="197" t="s">
        <v>156</v>
      </c>
      <c r="C52" s="198" t="s">
        <v>157</v>
      </c>
      <c r="D52" s="704"/>
      <c r="E52" s="701">
        <v>0</v>
      </c>
      <c r="F52" s="701"/>
      <c r="G52" s="200" t="s">
        <v>106</v>
      </c>
      <c r="H52" s="201" t="e">
        <f>$E52*Données!$D98*E$18/($E$18+$F$18)</f>
        <v>#DIV/0!</v>
      </c>
      <c r="I52" s="201" t="e">
        <f>$E52*Données!$D98*F$18/($E$18+$F$18)</f>
        <v>#DIV/0!</v>
      </c>
      <c r="J52" s="202"/>
      <c r="K52" s="203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  <c r="AC52" s="141"/>
      <c r="AD52" s="141"/>
      <c r="AE52" s="141"/>
      <c r="AF52" s="141"/>
      <c r="AG52" s="141"/>
      <c r="AH52" s="141"/>
      <c r="AI52" s="141"/>
      <c r="AJ52" s="141"/>
      <c r="AK52" s="141"/>
      <c r="AL52" s="141"/>
      <c r="AM52" s="141"/>
      <c r="AN52" s="141"/>
      <c r="AO52" s="141"/>
      <c r="AP52" s="141"/>
      <c r="AQ52" s="141"/>
      <c r="AR52" s="141"/>
      <c r="AS52" s="141"/>
      <c r="AT52" s="141"/>
      <c r="AU52" s="141"/>
      <c r="AV52" s="141"/>
      <c r="AW52" s="141"/>
      <c r="AX52" s="141"/>
      <c r="AY52" s="141"/>
      <c r="AZ52" s="141"/>
      <c r="BA52" s="141"/>
      <c r="BB52" s="141"/>
      <c r="BC52" s="141"/>
      <c r="BD52" s="141"/>
      <c r="BE52" s="141"/>
      <c r="BF52" s="141"/>
      <c r="BG52" s="141"/>
      <c r="BH52" s="141"/>
      <c r="BI52" s="141"/>
      <c r="BJ52" s="141"/>
      <c r="BK52" s="141"/>
      <c r="BL52" s="141"/>
      <c r="BM52" s="141"/>
    </row>
    <row r="53" spans="1:65" ht="16.5" customHeight="1" outlineLevel="2" x14ac:dyDescent="0.2">
      <c r="A53" s="133"/>
      <c r="B53" s="197"/>
      <c r="C53" s="209" t="s">
        <v>158</v>
      </c>
      <c r="D53" s="704"/>
      <c r="E53" s="700">
        <v>0</v>
      </c>
      <c r="F53" s="700"/>
      <c r="G53" s="224" t="s">
        <v>106</v>
      </c>
      <c r="H53" s="212" t="e">
        <f>$E53*Données!$D99*E$18/($E$18+$F$18)</f>
        <v>#DIV/0!</v>
      </c>
      <c r="I53" s="212" t="e">
        <f>$E53*Données!$D99*F$18/($E$18+$F$18)</f>
        <v>#DIV/0!</v>
      </c>
      <c r="J53" s="213"/>
      <c r="K53" s="176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  <c r="AA53" s="141"/>
      <c r="AB53" s="141"/>
      <c r="AC53" s="141"/>
      <c r="AD53" s="141"/>
      <c r="AE53" s="141"/>
      <c r="AF53" s="141"/>
      <c r="AG53" s="141"/>
      <c r="AH53" s="141"/>
      <c r="AI53" s="141"/>
      <c r="AJ53" s="141"/>
      <c r="AK53" s="141"/>
      <c r="AL53" s="141"/>
      <c r="AM53" s="141"/>
      <c r="AN53" s="141"/>
      <c r="AO53" s="141"/>
      <c r="AP53" s="141"/>
      <c r="AQ53" s="141"/>
      <c r="AR53" s="141"/>
      <c r="AS53" s="141"/>
      <c r="AT53" s="141"/>
      <c r="AU53" s="141"/>
      <c r="AV53" s="141"/>
      <c r="AW53" s="141"/>
      <c r="AX53" s="141"/>
      <c r="AY53" s="141"/>
      <c r="AZ53" s="141"/>
      <c r="BA53" s="141"/>
      <c r="BB53" s="141"/>
      <c r="BC53" s="141"/>
      <c r="BD53" s="141"/>
      <c r="BE53" s="141"/>
      <c r="BF53" s="141"/>
      <c r="BG53" s="141"/>
      <c r="BH53" s="141"/>
      <c r="BI53" s="141"/>
      <c r="BJ53" s="141"/>
      <c r="BK53" s="141"/>
      <c r="BL53" s="141"/>
      <c r="BM53" s="141"/>
    </row>
    <row r="54" spans="1:65" ht="5.25" customHeight="1" outlineLevel="2" x14ac:dyDescent="0.2">
      <c r="A54" s="133"/>
      <c r="B54" s="228"/>
      <c r="C54" s="205"/>
      <c r="D54" s="205"/>
      <c r="E54" s="206"/>
      <c r="F54" s="206"/>
      <c r="G54" s="207"/>
      <c r="H54" s="229"/>
      <c r="I54" s="229"/>
      <c r="J54" s="206"/>
      <c r="K54" s="164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  <c r="AC54" s="141"/>
      <c r="AD54" s="141"/>
      <c r="AE54" s="141"/>
      <c r="AF54" s="141"/>
      <c r="AG54" s="141"/>
      <c r="AH54" s="141"/>
      <c r="AI54" s="141"/>
      <c r="AJ54" s="141"/>
      <c r="AK54" s="141"/>
      <c r="AL54" s="141"/>
      <c r="AM54" s="141"/>
      <c r="AN54" s="141"/>
      <c r="AO54" s="141"/>
      <c r="AP54" s="141"/>
      <c r="AQ54" s="141"/>
      <c r="AR54" s="141"/>
      <c r="AS54" s="141"/>
      <c r="AT54" s="141"/>
      <c r="AU54" s="141"/>
      <c r="AV54" s="141"/>
      <c r="AW54" s="141"/>
      <c r="AX54" s="141"/>
      <c r="AY54" s="141"/>
      <c r="AZ54" s="141"/>
      <c r="BA54" s="141"/>
      <c r="BB54" s="141"/>
      <c r="BC54" s="141"/>
      <c r="BD54" s="141"/>
      <c r="BE54" s="141"/>
      <c r="BF54" s="141"/>
      <c r="BG54" s="141"/>
      <c r="BH54" s="141"/>
      <c r="BI54" s="141"/>
      <c r="BJ54" s="141"/>
      <c r="BK54" s="141"/>
      <c r="BL54" s="141"/>
      <c r="BM54" s="141"/>
    </row>
    <row r="55" spans="1:65" ht="16.5" customHeight="1" outlineLevel="2" x14ac:dyDescent="0.2">
      <c r="A55" s="133"/>
      <c r="B55" s="197" t="s">
        <v>159</v>
      </c>
      <c r="C55" s="209" t="s">
        <v>160</v>
      </c>
      <c r="D55" s="702"/>
      <c r="E55" s="703">
        <v>0</v>
      </c>
      <c r="F55" s="703"/>
      <c r="G55" s="211" t="s">
        <v>161</v>
      </c>
      <c r="H55" s="212" t="e">
        <f>$E55*E$19*Données!$D100*E$18/($E$18+$F$18)</f>
        <v>#DIV/0!</v>
      </c>
      <c r="I55" s="212" t="e">
        <f>$E55*E$19*Données!$D100*F$18/($E$18+$F$18)</f>
        <v>#DIV/0!</v>
      </c>
      <c r="J55" s="212" t="b">
        <f>IF(J$43&gt;0,IF(J$43&gt;Données!G100,"",E55*E$19*(1-J$43/Données!G100)))</f>
        <v>0</v>
      </c>
      <c r="K55" s="214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1"/>
      <c r="AE55" s="141"/>
      <c r="AF55" s="141"/>
      <c r="AG55" s="141"/>
      <c r="AH55" s="141"/>
      <c r="AI55" s="141"/>
      <c r="AJ55" s="141"/>
      <c r="AK55" s="141"/>
      <c r="AL55" s="141"/>
      <c r="AM55" s="141"/>
      <c r="AN55" s="141"/>
      <c r="AO55" s="141"/>
      <c r="AP55" s="141"/>
      <c r="AQ55" s="141"/>
      <c r="AR55" s="141"/>
      <c r="AS55" s="141"/>
      <c r="AT55" s="141"/>
      <c r="AU55" s="141"/>
      <c r="AV55" s="141"/>
      <c r="AW55" s="141"/>
      <c r="AX55" s="141"/>
      <c r="AY55" s="141"/>
      <c r="AZ55" s="141"/>
      <c r="BA55" s="141"/>
      <c r="BB55" s="141"/>
      <c r="BC55" s="141"/>
      <c r="BD55" s="141"/>
      <c r="BE55" s="141"/>
      <c r="BF55" s="141"/>
      <c r="BG55" s="141"/>
      <c r="BH55" s="141"/>
      <c r="BI55" s="141"/>
      <c r="BJ55" s="141"/>
      <c r="BK55" s="141"/>
      <c r="BL55" s="141"/>
      <c r="BM55" s="141"/>
    </row>
    <row r="56" spans="1:65" ht="5.25" customHeight="1" outlineLevel="2" x14ac:dyDescent="0.2">
      <c r="A56" s="133"/>
      <c r="B56" s="228"/>
      <c r="C56" s="205"/>
      <c r="D56" s="702"/>
      <c r="E56" s="206"/>
      <c r="F56" s="206"/>
      <c r="G56" s="207"/>
      <c r="H56" s="229"/>
      <c r="I56" s="229"/>
      <c r="J56" s="206"/>
      <c r="K56" s="164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41"/>
      <c r="AF56" s="141"/>
      <c r="AG56" s="141"/>
      <c r="AH56" s="141"/>
      <c r="AI56" s="141"/>
      <c r="AJ56" s="141"/>
      <c r="AK56" s="141"/>
      <c r="AL56" s="141"/>
      <c r="AM56" s="141"/>
      <c r="AN56" s="141"/>
      <c r="AO56" s="141"/>
      <c r="AP56" s="141"/>
      <c r="AQ56" s="141"/>
      <c r="AR56" s="141"/>
      <c r="AS56" s="141"/>
      <c r="AT56" s="141"/>
      <c r="AU56" s="141"/>
      <c r="AV56" s="141"/>
      <c r="AW56" s="141"/>
      <c r="AX56" s="141"/>
      <c r="AY56" s="141"/>
      <c r="AZ56" s="141"/>
      <c r="BA56" s="141"/>
      <c r="BB56" s="141"/>
      <c r="BC56" s="141"/>
      <c r="BD56" s="141"/>
      <c r="BE56" s="141"/>
      <c r="BF56" s="141"/>
      <c r="BG56" s="141"/>
      <c r="BH56" s="141"/>
      <c r="BI56" s="141"/>
      <c r="BJ56" s="141"/>
      <c r="BK56" s="141"/>
      <c r="BL56" s="141"/>
      <c r="BM56" s="141"/>
    </row>
    <row r="57" spans="1:65" ht="16.5" customHeight="1" outlineLevel="2" x14ac:dyDescent="0.2">
      <c r="A57" s="133"/>
      <c r="B57" s="197" t="s">
        <v>162</v>
      </c>
      <c r="C57" s="208" t="s">
        <v>139</v>
      </c>
      <c r="D57" s="702"/>
      <c r="E57" s="703">
        <v>0</v>
      </c>
      <c r="F57" s="703"/>
      <c r="G57" s="211" t="s">
        <v>163</v>
      </c>
      <c r="H57" s="212" t="e">
        <f>$E57*$E$21*VLOOKUP($C57,Données!$B$101:$G$107,3,FALSE())*E$18/($E$18+$F$18)</f>
        <v>#DIV/0!</v>
      </c>
      <c r="I57" s="212" t="e">
        <f>$E57*$E$21*VLOOKUP($C57,Données!$B$101:$G$107,3,FALSE())*F$18/($E$18+$F$18)</f>
        <v>#DIV/0!</v>
      </c>
      <c r="J57" s="213"/>
      <c r="K57" s="214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41"/>
      <c r="AC57" s="141"/>
      <c r="AD57" s="141"/>
      <c r="AE57" s="141"/>
      <c r="AF57" s="141"/>
      <c r="AG57" s="141"/>
      <c r="AH57" s="141"/>
      <c r="AI57" s="141"/>
      <c r="AJ57" s="141"/>
      <c r="AK57" s="141"/>
      <c r="AL57" s="141"/>
      <c r="AM57" s="141"/>
      <c r="AN57" s="141"/>
      <c r="AO57" s="141"/>
      <c r="AP57" s="141"/>
      <c r="AQ57" s="141"/>
      <c r="AR57" s="141"/>
      <c r="AS57" s="141"/>
      <c r="AT57" s="141"/>
      <c r="AU57" s="141"/>
      <c r="AV57" s="141"/>
      <c r="AW57" s="141"/>
      <c r="AX57" s="141"/>
      <c r="AY57" s="141"/>
      <c r="AZ57" s="141"/>
      <c r="BA57" s="141"/>
      <c r="BB57" s="141"/>
      <c r="BC57" s="141"/>
      <c r="BD57" s="141"/>
      <c r="BE57" s="141"/>
      <c r="BF57" s="141"/>
      <c r="BG57" s="141"/>
      <c r="BH57" s="141"/>
      <c r="BI57" s="141"/>
      <c r="BJ57" s="141"/>
      <c r="BK57" s="141"/>
      <c r="BL57" s="141"/>
      <c r="BM57" s="141"/>
    </row>
    <row r="58" spans="1:65" ht="16.5" customHeight="1" outlineLevel="2" x14ac:dyDescent="0.2">
      <c r="A58" s="133"/>
      <c r="B58" s="215" t="str">
        <f>IF(SUM(E57:E58)&gt;1,"somme &gt; 100%","")</f>
        <v/>
      </c>
      <c r="C58" s="208" t="s">
        <v>139</v>
      </c>
      <c r="D58" s="702"/>
      <c r="E58" s="703"/>
      <c r="F58" s="703"/>
      <c r="G58" s="211" t="str">
        <f>IF(C58="-","",G57)</f>
        <v/>
      </c>
      <c r="H58" s="212" t="str">
        <f>IF($E58="","",$E58*$E$21*VLOOKUP($C58,Données!$B$101:$G$107,3,FALSE())*E$18/($E$18+$F$18))</f>
        <v/>
      </c>
      <c r="I58" s="212" t="str">
        <f>IF($E58="","",$E58*$E$21*VLOOKUP($C58,Données!$B$101:$G$107,3,FALSE())*F$18/($E$18+$F$18))</f>
        <v/>
      </c>
      <c r="J58" s="213"/>
      <c r="K58" s="214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1"/>
      <c r="AB58" s="141"/>
      <c r="AC58" s="141"/>
      <c r="AD58" s="141"/>
      <c r="AE58" s="141"/>
      <c r="AF58" s="141"/>
      <c r="AG58" s="141"/>
      <c r="AH58" s="141"/>
      <c r="AI58" s="141"/>
      <c r="AJ58" s="141"/>
      <c r="AK58" s="141"/>
      <c r="AL58" s="141"/>
      <c r="AM58" s="141"/>
      <c r="AN58" s="141"/>
      <c r="AO58" s="141"/>
      <c r="AP58" s="141"/>
      <c r="AQ58" s="141"/>
      <c r="AR58" s="141"/>
      <c r="AS58" s="141"/>
      <c r="AT58" s="141"/>
      <c r="AU58" s="141"/>
      <c r="AV58" s="141"/>
      <c r="AW58" s="141"/>
      <c r="AX58" s="141"/>
      <c r="AY58" s="141"/>
      <c r="AZ58" s="141"/>
      <c r="BA58" s="141"/>
      <c r="BB58" s="141"/>
      <c r="BC58" s="141"/>
      <c r="BD58" s="141"/>
      <c r="BE58" s="141"/>
      <c r="BF58" s="141"/>
      <c r="BG58" s="141"/>
      <c r="BH58" s="141"/>
      <c r="BI58" s="141"/>
      <c r="BJ58" s="141"/>
      <c r="BK58" s="141"/>
      <c r="BL58" s="141"/>
      <c r="BM58" s="141"/>
    </row>
    <row r="59" spans="1:65" ht="5.25" customHeight="1" outlineLevel="2" x14ac:dyDescent="0.2">
      <c r="A59" s="133"/>
      <c r="B59" s="204"/>
      <c r="C59" s="205"/>
      <c r="D59" s="205"/>
      <c r="E59" s="206"/>
      <c r="F59" s="206"/>
      <c r="G59" s="207"/>
      <c r="H59" s="229"/>
      <c r="I59" s="229"/>
      <c r="J59" s="206"/>
      <c r="K59" s="164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1"/>
      <c r="AB59" s="141"/>
      <c r="AC59" s="141"/>
      <c r="AD59" s="141"/>
      <c r="AE59" s="141"/>
      <c r="AF59" s="141"/>
      <c r="AG59" s="141"/>
      <c r="AH59" s="141"/>
      <c r="AI59" s="141"/>
      <c r="AJ59" s="141"/>
      <c r="AK59" s="141"/>
      <c r="AL59" s="141"/>
      <c r="AM59" s="141"/>
      <c r="AN59" s="141"/>
      <c r="AO59" s="141"/>
      <c r="AP59" s="141"/>
      <c r="AQ59" s="141"/>
      <c r="AR59" s="141"/>
      <c r="AS59" s="141"/>
      <c r="AT59" s="141"/>
      <c r="AU59" s="141"/>
      <c r="AV59" s="141"/>
      <c r="AW59" s="141"/>
      <c r="AX59" s="141"/>
      <c r="AY59" s="141"/>
      <c r="AZ59" s="141"/>
      <c r="BA59" s="141"/>
      <c r="BB59" s="141"/>
      <c r="BC59" s="141"/>
      <c r="BD59" s="141"/>
      <c r="BE59" s="141"/>
      <c r="BF59" s="141"/>
      <c r="BG59" s="141"/>
      <c r="BH59" s="141"/>
      <c r="BI59" s="141"/>
      <c r="BJ59" s="141"/>
      <c r="BK59" s="141"/>
      <c r="BL59" s="141"/>
      <c r="BM59" s="141"/>
    </row>
    <row r="60" spans="1:65" ht="16.5" customHeight="1" outlineLevel="2" x14ac:dyDescent="0.2">
      <c r="A60" s="133"/>
      <c r="B60" s="197" t="s">
        <v>164</v>
      </c>
      <c r="C60" s="208" t="s">
        <v>139</v>
      </c>
      <c r="D60" s="702"/>
      <c r="E60" s="703">
        <v>0</v>
      </c>
      <c r="F60" s="703"/>
      <c r="G60" s="693" t="s">
        <v>165</v>
      </c>
      <c r="H60" s="212" t="e">
        <f>$E60*$E$22*VLOOKUP($C60,Données!$B$108:$G$115,3,FALSE())*E$18/($E$18+$F$18)</f>
        <v>#DIV/0!</v>
      </c>
      <c r="I60" s="212" t="e">
        <f>$E60*$E$22*VLOOKUP($C60,Données!$B$108:$G$115,3,FALSE())*F$18/($E$18+$F$18)</f>
        <v>#DIV/0!</v>
      </c>
      <c r="J60" s="213"/>
      <c r="K60" s="214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1"/>
      <c r="AB60" s="141"/>
      <c r="AC60" s="141"/>
      <c r="AD60" s="141"/>
      <c r="AE60" s="141"/>
      <c r="AF60" s="141"/>
      <c r="AG60" s="141"/>
      <c r="AH60" s="141"/>
      <c r="AI60" s="141"/>
      <c r="AJ60" s="141"/>
      <c r="AK60" s="141"/>
      <c r="AL60" s="141"/>
      <c r="AM60" s="141"/>
      <c r="AN60" s="141"/>
      <c r="AO60" s="141"/>
      <c r="AP60" s="141"/>
      <c r="AQ60" s="141"/>
      <c r="AR60" s="141"/>
      <c r="AS60" s="141"/>
      <c r="AT60" s="141"/>
      <c r="AU60" s="141"/>
      <c r="AV60" s="141"/>
      <c r="AW60" s="141"/>
      <c r="AX60" s="141"/>
      <c r="AY60" s="141"/>
      <c r="AZ60" s="141"/>
      <c r="BA60" s="141"/>
      <c r="BB60" s="141"/>
      <c r="BC60" s="141"/>
      <c r="BD60" s="141"/>
      <c r="BE60" s="141"/>
      <c r="BF60" s="141"/>
      <c r="BG60" s="141"/>
      <c r="BH60" s="141"/>
      <c r="BI60" s="141"/>
      <c r="BJ60" s="141"/>
      <c r="BK60" s="141"/>
      <c r="BL60" s="141"/>
      <c r="BM60" s="141"/>
    </row>
    <row r="61" spans="1:65" ht="16.5" customHeight="1" outlineLevel="2" x14ac:dyDescent="0.2">
      <c r="A61" s="133"/>
      <c r="B61" s="215" t="str">
        <f>IF(SUM(E60:E61)&gt;1,"somme &gt; 100%","")</f>
        <v/>
      </c>
      <c r="C61" s="208" t="s">
        <v>139</v>
      </c>
      <c r="D61" s="702"/>
      <c r="E61" s="703"/>
      <c r="F61" s="703"/>
      <c r="G61" s="694"/>
      <c r="H61" s="212" t="str">
        <f>IF($E61="","",$E61*$E$22*VLOOKUP($C61,Données!$B$108:$G$115,3,FALSE())*E$18/($E$18+$F$18))</f>
        <v/>
      </c>
      <c r="I61" s="212" t="str">
        <f>IF($E61="","",$E61*$E$22*VLOOKUP($C61,Données!$B$108:$G$115,3,FALSE())*F$18/($E$18+$F$18))</f>
        <v/>
      </c>
      <c r="J61" s="213"/>
      <c r="K61" s="214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1"/>
      <c r="AB61" s="141"/>
      <c r="AC61" s="141"/>
      <c r="AD61" s="141"/>
      <c r="AE61" s="141"/>
      <c r="AF61" s="141"/>
      <c r="AG61" s="141"/>
      <c r="AH61" s="141"/>
      <c r="AI61" s="141"/>
      <c r="AJ61" s="141"/>
      <c r="AK61" s="141"/>
      <c r="AL61" s="141"/>
      <c r="AM61" s="141"/>
      <c r="AN61" s="141"/>
      <c r="AO61" s="141"/>
      <c r="AP61" s="141"/>
      <c r="AQ61" s="141"/>
      <c r="AR61" s="141"/>
      <c r="AS61" s="141"/>
      <c r="AT61" s="141"/>
      <c r="AU61" s="141"/>
      <c r="AV61" s="141"/>
      <c r="AW61" s="141"/>
      <c r="AX61" s="141"/>
      <c r="AY61" s="141"/>
      <c r="AZ61" s="141"/>
      <c r="BA61" s="141"/>
      <c r="BB61" s="141"/>
      <c r="BC61" s="141"/>
      <c r="BD61" s="141"/>
      <c r="BE61" s="141"/>
      <c r="BF61" s="141"/>
      <c r="BG61" s="141"/>
      <c r="BH61" s="141"/>
      <c r="BI61" s="141"/>
      <c r="BJ61" s="141"/>
      <c r="BK61" s="141"/>
      <c r="BL61" s="141"/>
      <c r="BM61" s="141"/>
    </row>
    <row r="62" spans="1:65" ht="5.25" customHeight="1" outlineLevel="2" x14ac:dyDescent="0.2">
      <c r="A62" s="133"/>
      <c r="B62" s="204"/>
      <c r="C62" s="205"/>
      <c r="D62" s="205"/>
      <c r="E62" s="206"/>
      <c r="F62" s="206"/>
      <c r="G62" s="207"/>
      <c r="H62" s="229"/>
      <c r="I62" s="229"/>
      <c r="J62" s="206"/>
      <c r="K62" s="164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  <c r="AA62" s="141"/>
      <c r="AB62" s="141"/>
      <c r="AC62" s="141"/>
      <c r="AD62" s="141"/>
      <c r="AE62" s="141"/>
      <c r="AF62" s="141"/>
      <c r="AG62" s="141"/>
      <c r="AH62" s="141"/>
      <c r="AI62" s="141"/>
      <c r="AJ62" s="141"/>
      <c r="AK62" s="141"/>
      <c r="AL62" s="141"/>
      <c r="AM62" s="141"/>
      <c r="AN62" s="141"/>
      <c r="AO62" s="141"/>
      <c r="AP62" s="141"/>
      <c r="AQ62" s="141"/>
      <c r="AR62" s="141"/>
      <c r="AS62" s="141"/>
      <c r="AT62" s="141"/>
      <c r="AU62" s="141"/>
      <c r="AV62" s="141"/>
      <c r="AW62" s="141"/>
      <c r="AX62" s="141"/>
      <c r="AY62" s="141"/>
      <c r="AZ62" s="141"/>
      <c r="BA62" s="141"/>
      <c r="BB62" s="141"/>
      <c r="BC62" s="141"/>
      <c r="BD62" s="141"/>
      <c r="BE62" s="141"/>
      <c r="BF62" s="141"/>
      <c r="BG62" s="141"/>
      <c r="BH62" s="141"/>
      <c r="BI62" s="141"/>
      <c r="BJ62" s="141"/>
      <c r="BK62" s="141"/>
      <c r="BL62" s="141"/>
      <c r="BM62" s="141"/>
    </row>
    <row r="63" spans="1:65" ht="16.5" customHeight="1" outlineLevel="2" x14ac:dyDescent="0.2">
      <c r="A63" s="133"/>
      <c r="B63" s="230" t="s">
        <v>166</v>
      </c>
      <c r="C63" s="208" t="s">
        <v>139</v>
      </c>
      <c r="D63" s="702"/>
      <c r="E63" s="700">
        <v>0</v>
      </c>
      <c r="F63" s="700"/>
      <c r="G63" s="211" t="s">
        <v>167</v>
      </c>
      <c r="H63" s="212" t="e">
        <f>$E63*VLOOKUP($C63,Données!$B$116:$G$120,3,FALSE())*E$18/($E$18+$F$18)</f>
        <v>#DIV/0!</v>
      </c>
      <c r="I63" s="212" t="e">
        <f>$E63*VLOOKUP($C63,Données!$B$116:$G$120,3,FALSE())*F$18/($E$18+$F$18)</f>
        <v>#DIV/0!</v>
      </c>
      <c r="J63" s="213"/>
      <c r="K63" s="176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1"/>
      <c r="Z63" s="141"/>
      <c r="AA63" s="141"/>
      <c r="AB63" s="141"/>
      <c r="AC63" s="141"/>
      <c r="AD63" s="141"/>
      <c r="AE63" s="141"/>
      <c r="AF63" s="141"/>
      <c r="AG63" s="141"/>
      <c r="AH63" s="141"/>
      <c r="AI63" s="141"/>
      <c r="AJ63" s="141"/>
      <c r="AK63" s="141"/>
      <c r="AL63" s="141"/>
      <c r="AM63" s="141"/>
      <c r="AN63" s="141"/>
      <c r="AO63" s="141"/>
      <c r="AP63" s="141"/>
      <c r="AQ63" s="141"/>
      <c r="AR63" s="141"/>
      <c r="AS63" s="141"/>
      <c r="AT63" s="141"/>
      <c r="AU63" s="141"/>
      <c r="AV63" s="141"/>
      <c r="AW63" s="141"/>
      <c r="AX63" s="141"/>
      <c r="AY63" s="141"/>
      <c r="AZ63" s="141"/>
      <c r="BA63" s="141"/>
      <c r="BB63" s="141"/>
      <c r="BC63" s="141"/>
      <c r="BD63" s="141"/>
      <c r="BE63" s="141"/>
      <c r="BF63" s="141"/>
      <c r="BG63" s="141"/>
      <c r="BH63" s="141"/>
      <c r="BI63" s="141"/>
      <c r="BJ63" s="141"/>
      <c r="BK63" s="141"/>
      <c r="BL63" s="141"/>
      <c r="BM63" s="141"/>
    </row>
    <row r="64" spans="1:65" ht="16.5" customHeight="1" outlineLevel="2" x14ac:dyDescent="0.2">
      <c r="A64" s="133"/>
      <c r="B64" s="231"/>
      <c r="C64" s="208" t="s">
        <v>139</v>
      </c>
      <c r="D64" s="702"/>
      <c r="E64" s="700"/>
      <c r="F64" s="700"/>
      <c r="G64" s="211" t="str">
        <f>IF(C64="-","",G63)</f>
        <v/>
      </c>
      <c r="H64" s="212" t="str">
        <f>IF($E64="","",$E64*VLOOKUP($C64,Données!$B$116:$G$120,3,FALSE())*E$18/($E$18+$F$18))</f>
        <v/>
      </c>
      <c r="I64" s="212" t="str">
        <f>IF($E64="","",$E64*VLOOKUP($C64,Données!$B$116:$G$120,3,FALSE())*F$18/($E$18+$F$18))</f>
        <v/>
      </c>
      <c r="J64" s="213"/>
      <c r="K64" s="176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  <c r="AA64" s="141"/>
      <c r="AB64" s="141"/>
      <c r="AC64" s="141"/>
      <c r="AD64" s="141"/>
      <c r="AE64" s="141"/>
      <c r="AF64" s="141"/>
      <c r="AG64" s="141"/>
      <c r="AH64" s="141"/>
      <c r="AI64" s="141"/>
      <c r="AJ64" s="141"/>
      <c r="AK64" s="141"/>
      <c r="AL64" s="141"/>
      <c r="AM64" s="141"/>
      <c r="AN64" s="141"/>
      <c r="AO64" s="141"/>
      <c r="AP64" s="141"/>
      <c r="AQ64" s="141"/>
      <c r="AR64" s="141"/>
      <c r="AS64" s="141"/>
      <c r="AT64" s="141"/>
      <c r="AU64" s="141"/>
      <c r="AV64" s="141"/>
      <c r="AW64" s="141"/>
      <c r="AX64" s="141"/>
      <c r="AY64" s="141"/>
      <c r="AZ64" s="141"/>
      <c r="BA64" s="141"/>
      <c r="BB64" s="141"/>
      <c r="BC64" s="141"/>
      <c r="BD64" s="141"/>
      <c r="BE64" s="141"/>
      <c r="BF64" s="141"/>
      <c r="BG64" s="141"/>
      <c r="BH64" s="141"/>
      <c r="BI64" s="141"/>
      <c r="BJ64" s="141"/>
      <c r="BK64" s="141"/>
      <c r="BL64" s="141"/>
      <c r="BM64" s="141"/>
    </row>
    <row r="65" spans="1:65" ht="5.25" customHeight="1" outlineLevel="2" x14ac:dyDescent="0.2">
      <c r="A65" s="133"/>
      <c r="B65" s="228"/>
      <c r="C65" s="205"/>
      <c r="D65" s="205"/>
      <c r="E65" s="206"/>
      <c r="F65" s="206"/>
      <c r="G65" s="207"/>
      <c r="H65" s="229"/>
      <c r="I65" s="229"/>
      <c r="J65" s="206"/>
      <c r="K65" s="164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1"/>
      <c r="AA65" s="141"/>
      <c r="AB65" s="141"/>
      <c r="AC65" s="141"/>
      <c r="AD65" s="141"/>
      <c r="AE65" s="141"/>
      <c r="AF65" s="141"/>
      <c r="AG65" s="141"/>
      <c r="AH65" s="141"/>
      <c r="AI65" s="141"/>
      <c r="AJ65" s="141"/>
      <c r="AK65" s="141"/>
      <c r="AL65" s="141"/>
      <c r="AM65" s="141"/>
      <c r="AN65" s="141"/>
      <c r="AO65" s="141"/>
      <c r="AP65" s="141"/>
      <c r="AQ65" s="141"/>
      <c r="AR65" s="141"/>
      <c r="AS65" s="141"/>
      <c r="AT65" s="141"/>
      <c r="AU65" s="141"/>
      <c r="AV65" s="141"/>
      <c r="AW65" s="141"/>
      <c r="AX65" s="141"/>
      <c r="AY65" s="141"/>
      <c r="AZ65" s="141"/>
      <c r="BA65" s="141"/>
      <c r="BB65" s="141"/>
      <c r="BC65" s="141"/>
      <c r="BD65" s="141"/>
      <c r="BE65" s="141"/>
      <c r="BF65" s="141"/>
      <c r="BG65" s="141"/>
      <c r="BH65" s="141"/>
      <c r="BI65" s="141"/>
      <c r="BJ65" s="141"/>
      <c r="BK65" s="141"/>
      <c r="BL65" s="141"/>
      <c r="BM65" s="141"/>
    </row>
    <row r="66" spans="1:65" ht="16.5" customHeight="1" outlineLevel="2" x14ac:dyDescent="0.2">
      <c r="A66" s="133"/>
      <c r="B66" s="197" t="s">
        <v>168</v>
      </c>
      <c r="C66" s="208" t="s">
        <v>139</v>
      </c>
      <c r="D66" s="702"/>
      <c r="E66" s="700">
        <v>0</v>
      </c>
      <c r="F66" s="700"/>
      <c r="G66" s="211" t="s">
        <v>169</v>
      </c>
      <c r="H66" s="212" t="e">
        <f>$E66*VLOOKUP($C66,Données!$B$121:$G$125,3,FALSE())*E$18/($E$18+$F$18)</f>
        <v>#DIV/0!</v>
      </c>
      <c r="I66" s="212" t="e">
        <f>$E66*VLOOKUP($C66,Données!$B$121:$G$125,3,FALSE())*F$18/($E$18+$F$18)</f>
        <v>#DIV/0!</v>
      </c>
      <c r="J66" s="213"/>
      <c r="K66" s="232"/>
      <c r="L66" s="171"/>
      <c r="M66" s="171"/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171"/>
      <c r="Y66" s="171"/>
      <c r="Z66" s="171"/>
      <c r="AA66" s="171"/>
      <c r="AB66" s="171"/>
      <c r="AC66" s="171"/>
      <c r="AD66" s="171"/>
      <c r="AE66" s="171"/>
      <c r="AF66" s="171"/>
      <c r="AG66" s="171"/>
      <c r="AH66" s="171"/>
      <c r="AI66" s="171"/>
      <c r="AJ66" s="171"/>
      <c r="AK66" s="171"/>
      <c r="AL66" s="171"/>
      <c r="AM66" s="171"/>
      <c r="AN66" s="171"/>
      <c r="AO66" s="171"/>
      <c r="AP66" s="171"/>
      <c r="AQ66" s="171"/>
      <c r="AR66" s="171"/>
      <c r="AS66" s="171"/>
      <c r="AT66" s="171"/>
      <c r="AU66" s="171"/>
      <c r="AV66" s="171"/>
      <c r="AW66" s="171"/>
      <c r="AX66" s="171"/>
      <c r="AY66" s="171"/>
      <c r="AZ66" s="171"/>
      <c r="BA66" s="171"/>
      <c r="BB66" s="171"/>
      <c r="BC66" s="171"/>
      <c r="BD66" s="171"/>
      <c r="BE66" s="171"/>
      <c r="BF66" s="171"/>
      <c r="BG66" s="171"/>
      <c r="BH66" s="171"/>
      <c r="BI66" s="171"/>
      <c r="BJ66" s="171"/>
      <c r="BK66" s="171"/>
      <c r="BL66" s="171"/>
      <c r="BM66" s="171"/>
    </row>
    <row r="67" spans="1:65" ht="16.5" customHeight="1" outlineLevel="2" x14ac:dyDescent="0.2">
      <c r="A67" s="133"/>
      <c r="B67" s="197"/>
      <c r="C67" s="208" t="s">
        <v>139</v>
      </c>
      <c r="D67" s="702"/>
      <c r="E67" s="700"/>
      <c r="F67" s="700"/>
      <c r="G67" s="211" t="str">
        <f>IF(C67="-","",G66)</f>
        <v/>
      </c>
      <c r="H67" s="212" t="str">
        <f>IF($E67="","",$E67*VLOOKUP($C67,Données!$B$121:$G$125,3,FALSE())*E$18/($E$18+$F$18))</f>
        <v/>
      </c>
      <c r="I67" s="212" t="str">
        <f>IF($E67="","",$E67*VLOOKUP($C67,Données!$B$121:$G$125,3,FALSE())*F$18/($E$18+$F$18))</f>
        <v/>
      </c>
      <c r="J67" s="213"/>
      <c r="K67" s="232"/>
      <c r="L67" s="171"/>
      <c r="M67" s="171"/>
      <c r="N67" s="171"/>
      <c r="O67" s="171"/>
      <c r="P67" s="171"/>
      <c r="Q67" s="171"/>
      <c r="R67" s="171"/>
      <c r="S67" s="171"/>
      <c r="T67" s="171"/>
      <c r="U67" s="171"/>
      <c r="V67" s="171"/>
      <c r="W67" s="171"/>
      <c r="X67" s="171"/>
      <c r="Y67" s="171"/>
      <c r="Z67" s="171"/>
      <c r="AA67" s="171"/>
      <c r="AB67" s="171"/>
      <c r="AC67" s="171"/>
      <c r="AD67" s="171"/>
      <c r="AE67" s="171"/>
      <c r="AF67" s="171"/>
      <c r="AG67" s="171"/>
      <c r="AH67" s="171"/>
      <c r="AI67" s="171"/>
      <c r="AJ67" s="171"/>
      <c r="AK67" s="171"/>
      <c r="AL67" s="171"/>
      <c r="AM67" s="171"/>
      <c r="AN67" s="171"/>
      <c r="AO67" s="171"/>
      <c r="AP67" s="171"/>
      <c r="AQ67" s="171"/>
      <c r="AR67" s="171"/>
      <c r="AS67" s="171"/>
      <c r="AT67" s="171"/>
      <c r="AU67" s="171"/>
      <c r="AV67" s="171"/>
      <c r="AW67" s="171"/>
      <c r="AX67" s="171"/>
      <c r="AY67" s="171"/>
      <c r="AZ67" s="171"/>
      <c r="BA67" s="171"/>
      <c r="BB67" s="171"/>
      <c r="BC67" s="171"/>
      <c r="BD67" s="171"/>
      <c r="BE67" s="171"/>
      <c r="BF67" s="171"/>
      <c r="BG67" s="171"/>
      <c r="BH67" s="171"/>
      <c r="BI67" s="171"/>
      <c r="BJ67" s="171"/>
      <c r="BK67" s="171"/>
      <c r="BL67" s="171"/>
      <c r="BM67" s="171"/>
    </row>
    <row r="68" spans="1:65" ht="5.25" customHeight="1" outlineLevel="2" x14ac:dyDescent="0.2">
      <c r="A68" s="133"/>
      <c r="B68" s="228"/>
      <c r="C68" s="205"/>
      <c r="D68" s="205"/>
      <c r="E68" s="206"/>
      <c r="F68" s="206"/>
      <c r="G68" s="207"/>
      <c r="H68" s="229"/>
      <c r="I68" s="229"/>
      <c r="J68" s="206"/>
      <c r="K68" s="164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141"/>
      <c r="AN68" s="141"/>
      <c r="AO68" s="141"/>
      <c r="AP68" s="141"/>
      <c r="AQ68" s="141"/>
      <c r="AR68" s="141"/>
      <c r="AS68" s="141"/>
      <c r="AT68" s="141"/>
      <c r="AU68" s="141"/>
      <c r="AV68" s="141"/>
      <c r="AW68" s="141"/>
      <c r="AX68" s="141"/>
      <c r="AY68" s="141"/>
      <c r="AZ68" s="141"/>
      <c r="BA68" s="141"/>
      <c r="BB68" s="141"/>
      <c r="BC68" s="141"/>
      <c r="BD68" s="141"/>
      <c r="BE68" s="141"/>
      <c r="BF68" s="141"/>
      <c r="BG68" s="141"/>
      <c r="BH68" s="141"/>
      <c r="BI68" s="141"/>
      <c r="BJ68" s="141"/>
      <c r="BK68" s="141"/>
      <c r="BL68" s="141"/>
      <c r="BM68" s="141"/>
    </row>
    <row r="69" spans="1:65" ht="16.5" customHeight="1" outlineLevel="2" x14ac:dyDescent="0.2">
      <c r="A69" s="133"/>
      <c r="B69" s="197" t="s">
        <v>170</v>
      </c>
      <c r="C69" s="208" t="s">
        <v>139</v>
      </c>
      <c r="D69" s="702"/>
      <c r="E69" s="700">
        <v>0</v>
      </c>
      <c r="F69" s="700"/>
      <c r="G69" s="211" t="s">
        <v>106</v>
      </c>
      <c r="H69" s="212" t="e">
        <f>$E69*VLOOKUP($C69,Données!$B$126:$G$130,3,FALSE())*E$18/($E$18+$F$18)</f>
        <v>#DIV/0!</v>
      </c>
      <c r="I69" s="212" t="e">
        <f>$E69*VLOOKUP($C69,Données!$B$126:$G$130,3,FALSE())*F$18/($E$18+$F$18)</f>
        <v>#DIV/0!</v>
      </c>
      <c r="J69" s="213"/>
      <c r="K69" s="232"/>
      <c r="L69" s="171"/>
      <c r="M69" s="171"/>
      <c r="N69" s="171"/>
      <c r="O69" s="171"/>
      <c r="P69" s="171"/>
      <c r="Q69" s="171"/>
      <c r="R69" s="171"/>
      <c r="S69" s="171"/>
      <c r="T69" s="171"/>
      <c r="U69" s="171"/>
      <c r="V69" s="171"/>
      <c r="W69" s="171"/>
      <c r="X69" s="171"/>
      <c r="Y69" s="171"/>
      <c r="Z69" s="171"/>
      <c r="AA69" s="171"/>
      <c r="AB69" s="171"/>
      <c r="AC69" s="171"/>
      <c r="AD69" s="171"/>
      <c r="AE69" s="171"/>
      <c r="AF69" s="171"/>
      <c r="AG69" s="171"/>
      <c r="AH69" s="171"/>
      <c r="AI69" s="171"/>
      <c r="AJ69" s="171"/>
      <c r="AK69" s="171"/>
      <c r="AL69" s="171"/>
      <c r="AM69" s="171"/>
      <c r="AN69" s="171"/>
      <c r="AO69" s="171"/>
      <c r="AP69" s="171"/>
      <c r="AQ69" s="171"/>
      <c r="AR69" s="171"/>
      <c r="AS69" s="171"/>
      <c r="AT69" s="171"/>
      <c r="AU69" s="171"/>
      <c r="AV69" s="171"/>
      <c r="AW69" s="171"/>
      <c r="AX69" s="171"/>
      <c r="AY69" s="171"/>
      <c r="AZ69" s="171"/>
      <c r="BA69" s="171"/>
      <c r="BB69" s="171"/>
      <c r="BC69" s="171"/>
      <c r="BD69" s="171"/>
      <c r="BE69" s="171"/>
      <c r="BF69" s="171"/>
      <c r="BG69" s="171"/>
      <c r="BH69" s="171"/>
      <c r="BI69" s="171"/>
      <c r="BJ69" s="171"/>
      <c r="BK69" s="171"/>
      <c r="BL69" s="171"/>
      <c r="BM69" s="171"/>
    </row>
    <row r="70" spans="1:65" ht="16.5" customHeight="1" outlineLevel="2" x14ac:dyDescent="0.2">
      <c r="A70" s="133"/>
      <c r="B70" s="197"/>
      <c r="C70" s="208" t="s">
        <v>139</v>
      </c>
      <c r="D70" s="702"/>
      <c r="E70" s="700"/>
      <c r="F70" s="700"/>
      <c r="G70" s="211" t="str">
        <f>IF(C70="-","",G69)</f>
        <v/>
      </c>
      <c r="H70" s="212" t="str">
        <f>IF($E70="","",$E70*VLOOKUP($C70,Données!$B$126:$G$130,3,FALSE())*E$18/($E$18+$F$18))</f>
        <v/>
      </c>
      <c r="I70" s="212" t="str">
        <f>IF($E70="","",$E70*VLOOKUP($C70,Données!$B$126:$G$130,3,FALSE())*F$18/($E$18+$F$18))</f>
        <v/>
      </c>
      <c r="J70" s="213"/>
      <c r="K70" s="232"/>
      <c r="L70" s="171"/>
      <c r="M70" s="171"/>
      <c r="N70" s="171"/>
      <c r="O70" s="171"/>
      <c r="P70" s="171"/>
      <c r="Q70" s="171"/>
      <c r="R70" s="171"/>
      <c r="S70" s="171"/>
      <c r="T70" s="171"/>
      <c r="U70" s="171"/>
      <c r="V70" s="171"/>
      <c r="W70" s="171"/>
      <c r="X70" s="171"/>
      <c r="Y70" s="171"/>
      <c r="Z70" s="171"/>
      <c r="AA70" s="171"/>
      <c r="AB70" s="171"/>
      <c r="AC70" s="171"/>
      <c r="AD70" s="171"/>
      <c r="AE70" s="171"/>
      <c r="AF70" s="171"/>
      <c r="AG70" s="171"/>
      <c r="AH70" s="171"/>
      <c r="AI70" s="171"/>
      <c r="AJ70" s="171"/>
      <c r="AK70" s="171"/>
      <c r="AL70" s="171"/>
      <c r="AM70" s="171"/>
      <c r="AN70" s="171"/>
      <c r="AO70" s="171"/>
      <c r="AP70" s="171"/>
      <c r="AQ70" s="171"/>
      <c r="AR70" s="171"/>
      <c r="AS70" s="171"/>
      <c r="AT70" s="171"/>
      <c r="AU70" s="171"/>
      <c r="AV70" s="171"/>
      <c r="AW70" s="171"/>
      <c r="AX70" s="171"/>
      <c r="AY70" s="171"/>
      <c r="AZ70" s="171"/>
      <c r="BA70" s="171"/>
      <c r="BB70" s="171"/>
      <c r="BC70" s="171"/>
      <c r="BD70" s="171"/>
      <c r="BE70" s="171"/>
      <c r="BF70" s="171"/>
      <c r="BG70" s="171"/>
      <c r="BH70" s="171"/>
      <c r="BI70" s="171"/>
      <c r="BJ70" s="171"/>
      <c r="BK70" s="171"/>
      <c r="BL70" s="171"/>
      <c r="BM70" s="171"/>
    </row>
    <row r="71" spans="1:65" ht="5.25" customHeight="1" outlineLevel="2" x14ac:dyDescent="0.2">
      <c r="A71" s="133"/>
      <c r="B71" s="204"/>
      <c r="C71" s="233"/>
      <c r="D71" s="205"/>
      <c r="E71" s="206"/>
      <c r="F71" s="206"/>
      <c r="G71" s="207"/>
      <c r="H71" s="234"/>
      <c r="I71" s="234"/>
      <c r="J71" s="235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1"/>
      <c r="AB71" s="141"/>
      <c r="AC71" s="141"/>
      <c r="AD71" s="141"/>
      <c r="AE71" s="141"/>
      <c r="AF71" s="141"/>
      <c r="AG71" s="141"/>
      <c r="AH71" s="141"/>
      <c r="AI71" s="141"/>
      <c r="AJ71" s="141"/>
      <c r="AK71" s="141"/>
      <c r="AL71" s="141"/>
      <c r="AM71" s="141"/>
      <c r="AN71" s="141"/>
      <c r="AO71" s="141"/>
      <c r="AP71" s="141"/>
      <c r="AQ71" s="141"/>
      <c r="AR71" s="141"/>
      <c r="AS71" s="141"/>
      <c r="AT71" s="141"/>
      <c r="AU71" s="141"/>
      <c r="AV71" s="141"/>
      <c r="AW71" s="141"/>
      <c r="AX71" s="141"/>
    </row>
    <row r="72" spans="1:65" ht="16.5" customHeight="1" outlineLevel="2" x14ac:dyDescent="0.2">
      <c r="A72" s="133"/>
      <c r="B72" s="197" t="s">
        <v>171</v>
      </c>
      <c r="C72" s="236" t="s">
        <v>172</v>
      </c>
      <c r="D72" s="209"/>
      <c r="E72" s="1">
        <v>0</v>
      </c>
      <c r="F72" s="1">
        <v>0</v>
      </c>
      <c r="G72" s="211" t="str">
        <f>CONCATENATE("kgCO2e / ",G73)</f>
        <v>kgCO2e / unité</v>
      </c>
      <c r="H72" s="705">
        <v>0</v>
      </c>
      <c r="I72" s="705">
        <v>0</v>
      </c>
      <c r="J72" s="706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1"/>
      <c r="AA72" s="141"/>
      <c r="AB72" s="141"/>
      <c r="AC72" s="141"/>
      <c r="AD72" s="141"/>
      <c r="AE72" s="141"/>
      <c r="AF72" s="141"/>
      <c r="AG72" s="141"/>
      <c r="AH72" s="141"/>
      <c r="AI72" s="141"/>
      <c r="AJ72" s="141"/>
      <c r="AK72" s="141"/>
      <c r="AL72" s="141"/>
      <c r="AM72" s="141"/>
      <c r="AN72" s="141"/>
      <c r="AO72" s="141"/>
      <c r="AP72" s="141"/>
      <c r="AQ72" s="141"/>
      <c r="AR72" s="141"/>
      <c r="AS72" s="141"/>
      <c r="AT72" s="141"/>
      <c r="AU72" s="141"/>
      <c r="AV72" s="141"/>
      <c r="AW72" s="141"/>
      <c r="AX72" s="141"/>
    </row>
    <row r="73" spans="1:65" ht="16.5" customHeight="1" outlineLevel="2" x14ac:dyDescent="0.2">
      <c r="A73" s="133"/>
      <c r="B73" s="237" t="s">
        <v>173</v>
      </c>
      <c r="C73" s="236" t="s">
        <v>174</v>
      </c>
      <c r="D73" s="209"/>
      <c r="E73" s="1">
        <v>0</v>
      </c>
      <c r="F73" s="1">
        <v>0</v>
      </c>
      <c r="G73" s="238" t="s">
        <v>175</v>
      </c>
      <c r="H73" s="705"/>
      <c r="I73" s="705"/>
      <c r="J73" s="706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1"/>
      <c r="AA73" s="141"/>
      <c r="AB73" s="141"/>
      <c r="AC73" s="141"/>
      <c r="AD73" s="141"/>
      <c r="AE73" s="141"/>
      <c r="AF73" s="141"/>
      <c r="AG73" s="141"/>
      <c r="AH73" s="141"/>
      <c r="AI73" s="141"/>
      <c r="AJ73" s="141"/>
      <c r="AK73" s="141"/>
      <c r="AL73" s="141"/>
      <c r="AM73" s="141"/>
      <c r="AN73" s="141"/>
      <c r="AO73" s="141"/>
      <c r="AP73" s="141"/>
      <c r="AQ73" s="141"/>
      <c r="AR73" s="141"/>
      <c r="AS73" s="141"/>
      <c r="AT73" s="141"/>
      <c r="AU73" s="141"/>
      <c r="AV73" s="141"/>
      <c r="AW73" s="141"/>
      <c r="AX73" s="141"/>
    </row>
    <row r="74" spans="1:65" ht="13.5" outlineLevel="1" x14ac:dyDescent="0.2">
      <c r="A74" s="133"/>
      <c r="B74" s="239"/>
      <c r="C74" s="178"/>
      <c r="D74" s="178"/>
      <c r="E74" s="179"/>
      <c r="F74" s="179"/>
      <c r="G74" s="217"/>
      <c r="H74" s="179"/>
      <c r="I74" s="179"/>
      <c r="J74" s="179"/>
      <c r="K74" s="144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  <c r="AA74" s="141"/>
      <c r="AB74" s="141"/>
      <c r="AC74" s="141"/>
      <c r="AD74" s="141"/>
      <c r="AE74" s="141"/>
      <c r="AF74" s="141"/>
      <c r="AG74" s="141"/>
      <c r="AH74" s="141"/>
      <c r="AI74" s="141"/>
      <c r="AJ74" s="141"/>
      <c r="AK74" s="141"/>
      <c r="AL74" s="141"/>
      <c r="AM74" s="141"/>
      <c r="AN74" s="141"/>
      <c r="AO74" s="141"/>
      <c r="AP74" s="141"/>
      <c r="AQ74" s="141"/>
      <c r="AR74" s="141"/>
      <c r="AS74" s="141"/>
      <c r="AT74" s="141"/>
      <c r="AU74" s="141"/>
      <c r="AV74" s="141"/>
      <c r="AW74" s="141"/>
      <c r="AX74" s="141"/>
      <c r="AY74" s="141"/>
      <c r="AZ74" s="141"/>
      <c r="BA74" s="141"/>
      <c r="BB74" s="141"/>
      <c r="BC74" s="141"/>
      <c r="BD74" s="141"/>
      <c r="BE74" s="141"/>
      <c r="BF74" s="141"/>
      <c r="BG74" s="141"/>
      <c r="BH74" s="141"/>
      <c r="BI74" s="141"/>
      <c r="BJ74" s="141"/>
      <c r="BK74" s="141"/>
      <c r="BL74" s="141"/>
      <c r="BM74" s="141"/>
    </row>
    <row r="75" spans="1:65" ht="16.5" customHeight="1" outlineLevel="1" x14ac:dyDescent="0.2">
      <c r="A75" s="133"/>
      <c r="B75" s="191" t="s">
        <v>176</v>
      </c>
      <c r="C75" s="240"/>
      <c r="D75" s="192" t="s">
        <v>177</v>
      </c>
      <c r="E75" s="193"/>
      <c r="F75" s="240"/>
      <c r="G75" s="219"/>
      <c r="H75" s="195"/>
      <c r="I75" s="220" t="s">
        <v>146</v>
      </c>
      <c r="J75" s="241">
        <f>IF(PROJET!$D$15-PROJET!$D$16&lt;101,PROJET!$D$15-PROJET!$D$16,"")</f>
        <v>0</v>
      </c>
      <c r="K75" s="196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1"/>
      <c r="AA75" s="141"/>
      <c r="AB75" s="141"/>
      <c r="AC75" s="141"/>
      <c r="AD75" s="141"/>
      <c r="AE75" s="141"/>
      <c r="AF75" s="141"/>
      <c r="AG75" s="141"/>
      <c r="AH75" s="141"/>
      <c r="AI75" s="141"/>
      <c r="AJ75" s="141"/>
      <c r="AK75" s="141"/>
      <c r="AL75" s="141"/>
      <c r="AM75" s="141"/>
      <c r="AN75" s="141"/>
      <c r="AO75" s="141"/>
      <c r="AP75" s="141"/>
      <c r="AQ75" s="141"/>
      <c r="AR75" s="141"/>
      <c r="AS75" s="141"/>
      <c r="AT75" s="141"/>
      <c r="AU75" s="141"/>
      <c r="AV75" s="141"/>
      <c r="AW75" s="141"/>
      <c r="AX75" s="141"/>
      <c r="AY75" s="141"/>
      <c r="AZ75" s="141"/>
      <c r="BA75" s="141"/>
      <c r="BB75" s="141"/>
      <c r="BC75" s="141"/>
      <c r="BD75" s="141"/>
      <c r="BE75" s="141"/>
      <c r="BF75" s="141"/>
      <c r="BG75" s="141"/>
      <c r="BH75" s="141"/>
      <c r="BI75" s="141"/>
      <c r="BJ75" s="141"/>
      <c r="BK75" s="141"/>
      <c r="BL75" s="141"/>
      <c r="BM75" s="141"/>
    </row>
    <row r="76" spans="1:65" ht="16.5" customHeight="1" outlineLevel="2" x14ac:dyDescent="0.2">
      <c r="A76" s="133"/>
      <c r="B76" s="197" t="s">
        <v>178</v>
      </c>
      <c r="C76" s="198" t="s">
        <v>179</v>
      </c>
      <c r="D76" s="198"/>
      <c r="E76" s="701">
        <v>0</v>
      </c>
      <c r="F76" s="701"/>
      <c r="G76" s="222" t="s">
        <v>169</v>
      </c>
      <c r="H76" s="201" t="e">
        <f>$E76*Données!$D133*E$18/($E$18+$F$18)</f>
        <v>#DIV/0!</v>
      </c>
      <c r="I76" s="201" t="e">
        <f>$E76*Données!$D133*F$18/($E$18+$F$18)</f>
        <v>#DIV/0!</v>
      </c>
      <c r="J76" s="202"/>
      <c r="K76" s="203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41"/>
      <c r="AG76" s="141"/>
      <c r="AH76" s="141"/>
      <c r="AI76" s="141"/>
      <c r="AJ76" s="141"/>
      <c r="AK76" s="141"/>
      <c r="AL76" s="141"/>
      <c r="AM76" s="141"/>
      <c r="AN76" s="141"/>
      <c r="AO76" s="141"/>
      <c r="AP76" s="141"/>
      <c r="AQ76" s="141"/>
      <c r="AR76" s="141"/>
      <c r="AS76" s="141"/>
      <c r="AT76" s="141"/>
      <c r="AU76" s="141"/>
      <c r="AV76" s="141"/>
      <c r="AW76" s="141"/>
      <c r="AX76" s="141"/>
      <c r="AY76" s="141"/>
      <c r="AZ76" s="141"/>
      <c r="BA76" s="141"/>
      <c r="BB76" s="141"/>
      <c r="BC76" s="141"/>
      <c r="BD76" s="141"/>
      <c r="BE76" s="141"/>
      <c r="BF76" s="141"/>
      <c r="BG76" s="141"/>
      <c r="BH76" s="141"/>
      <c r="BI76" s="141"/>
      <c r="BJ76" s="141"/>
      <c r="BK76" s="141"/>
      <c r="BL76" s="141"/>
      <c r="BM76" s="141"/>
    </row>
    <row r="77" spans="1:65" ht="5.25" customHeight="1" outlineLevel="2" x14ac:dyDescent="0.2">
      <c r="A77" s="133"/>
      <c r="B77" s="204"/>
      <c r="C77" s="205"/>
      <c r="D77" s="205"/>
      <c r="E77" s="206"/>
      <c r="F77" s="206"/>
      <c r="G77" s="207"/>
      <c r="H77" s="229"/>
      <c r="I77" s="229"/>
      <c r="J77" s="206"/>
      <c r="K77" s="242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  <c r="AA77" s="141"/>
      <c r="AB77" s="141"/>
      <c r="AC77" s="141"/>
      <c r="AD77" s="141"/>
      <c r="AE77" s="141"/>
      <c r="AF77" s="141"/>
      <c r="AG77" s="141"/>
      <c r="AH77" s="141"/>
      <c r="AI77" s="141"/>
      <c r="AJ77" s="141"/>
      <c r="AK77" s="141"/>
      <c r="AL77" s="141"/>
      <c r="AM77" s="141"/>
      <c r="AN77" s="141"/>
      <c r="AO77" s="141"/>
      <c r="AP77" s="141"/>
      <c r="AQ77" s="141"/>
      <c r="AR77" s="141"/>
      <c r="AS77" s="141"/>
      <c r="AT77" s="141"/>
      <c r="AU77" s="141"/>
      <c r="AV77" s="141"/>
      <c r="AW77" s="141"/>
      <c r="AX77" s="141"/>
      <c r="AY77" s="141"/>
      <c r="AZ77" s="141"/>
      <c r="BA77" s="141"/>
      <c r="BB77" s="141"/>
      <c r="BC77" s="141"/>
      <c r="BD77" s="141"/>
      <c r="BE77" s="141"/>
      <c r="BF77" s="141"/>
      <c r="BG77" s="141"/>
      <c r="BH77" s="141"/>
      <c r="BI77" s="141"/>
      <c r="BJ77" s="141"/>
      <c r="BK77" s="141"/>
      <c r="BL77" s="141"/>
      <c r="BM77" s="141"/>
    </row>
    <row r="78" spans="1:65" ht="16.5" customHeight="1" outlineLevel="2" x14ac:dyDescent="0.2">
      <c r="A78" s="133"/>
      <c r="B78" s="197" t="s">
        <v>180</v>
      </c>
      <c r="C78" s="209" t="s">
        <v>181</v>
      </c>
      <c r="D78" s="209"/>
      <c r="E78" s="703">
        <v>0</v>
      </c>
      <c r="F78" s="703"/>
      <c r="G78" s="211" t="str">
        <f>G$38</f>
        <v>% de la parcelle</v>
      </c>
      <c r="H78" s="243" t="e">
        <f>$E78*$E$19*Données!$D135*E$18/($E$18+$F$18)</f>
        <v>#DIV/0!</v>
      </c>
      <c r="I78" s="243" t="e">
        <f>$E78*$E$19*Données!$D135*F$18/($E$18+$F$18)</f>
        <v>#DIV/0!</v>
      </c>
      <c r="J78" s="213"/>
      <c r="K78" s="176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1"/>
      <c r="AA78" s="141"/>
      <c r="AB78" s="141"/>
      <c r="AC78" s="141"/>
      <c r="AD78" s="141"/>
      <c r="AE78" s="141"/>
      <c r="AF78" s="141"/>
      <c r="AG78" s="141"/>
      <c r="AH78" s="141"/>
      <c r="AI78" s="141"/>
      <c r="AJ78" s="141"/>
      <c r="AK78" s="141"/>
      <c r="AL78" s="141"/>
      <c r="AM78" s="141"/>
      <c r="AN78" s="141"/>
      <c r="AO78" s="141"/>
      <c r="AP78" s="141"/>
      <c r="AQ78" s="141"/>
      <c r="AR78" s="141"/>
      <c r="AS78" s="141"/>
      <c r="AT78" s="141"/>
      <c r="AU78" s="141"/>
      <c r="AV78" s="141"/>
      <c r="AW78" s="141"/>
      <c r="AX78" s="141"/>
      <c r="AY78" s="141"/>
      <c r="AZ78" s="141"/>
      <c r="BA78" s="141"/>
      <c r="BB78" s="141"/>
      <c r="BC78" s="141"/>
      <c r="BD78" s="141"/>
      <c r="BE78" s="141"/>
      <c r="BF78" s="141"/>
      <c r="BG78" s="141"/>
      <c r="BH78" s="141"/>
      <c r="BI78" s="141"/>
      <c r="BJ78" s="141"/>
      <c r="BK78" s="141"/>
      <c r="BL78" s="141"/>
      <c r="BM78" s="141"/>
    </row>
    <row r="79" spans="1:65" ht="5.25" customHeight="1" outlineLevel="2" x14ac:dyDescent="0.2">
      <c r="A79" s="133"/>
      <c r="B79" s="204"/>
      <c r="C79" s="205"/>
      <c r="D79" s="205"/>
      <c r="E79" s="206"/>
      <c r="F79" s="206"/>
      <c r="G79" s="207"/>
      <c r="H79" s="229"/>
      <c r="I79" s="244"/>
      <c r="J79" s="206"/>
      <c r="K79" s="242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1"/>
      <c r="AA79" s="141"/>
      <c r="AB79" s="141"/>
      <c r="AC79" s="141"/>
      <c r="AD79" s="141"/>
      <c r="AE79" s="141"/>
      <c r="AF79" s="141"/>
      <c r="AG79" s="141"/>
      <c r="AH79" s="141"/>
      <c r="AI79" s="141"/>
      <c r="AJ79" s="141"/>
      <c r="AK79" s="141"/>
      <c r="AL79" s="141"/>
      <c r="AM79" s="141"/>
      <c r="AN79" s="141"/>
      <c r="AO79" s="141"/>
      <c r="AP79" s="141"/>
      <c r="AQ79" s="141"/>
      <c r="AR79" s="141"/>
      <c r="AS79" s="141"/>
      <c r="AT79" s="141"/>
      <c r="AU79" s="141"/>
      <c r="AV79" s="141"/>
      <c r="AW79" s="141"/>
      <c r="AX79" s="141"/>
      <c r="AY79" s="141"/>
      <c r="AZ79" s="141"/>
      <c r="BA79" s="141"/>
      <c r="BB79" s="141"/>
      <c r="BC79" s="141"/>
      <c r="BD79" s="141"/>
      <c r="BE79" s="141"/>
      <c r="BF79" s="141"/>
      <c r="BG79" s="141"/>
      <c r="BH79" s="141"/>
      <c r="BI79" s="141"/>
      <c r="BJ79" s="141"/>
      <c r="BK79" s="141"/>
      <c r="BL79" s="141"/>
      <c r="BM79" s="141"/>
    </row>
    <row r="80" spans="1:65" ht="16.5" customHeight="1" outlineLevel="2" x14ac:dyDescent="0.2">
      <c r="A80" s="133"/>
      <c r="B80" s="197" t="s">
        <v>182</v>
      </c>
      <c r="C80" s="208" t="s">
        <v>139</v>
      </c>
      <c r="D80" s="702"/>
      <c r="E80" s="210">
        <v>0</v>
      </c>
      <c r="F80" s="210">
        <v>0</v>
      </c>
      <c r="G80" s="211" t="s">
        <v>183</v>
      </c>
      <c r="H80" s="212">
        <f>IF(E$18=0,0,E80*(VLOOKUP($C80,Données!$B$137:$G$141,3,FALSE())*(E$15+E$16)/E$18+VLOOKUP($C80,Données!$B$142:$G$146,3,FALSE())*E$17/E$18)*E$23)</f>
        <v>0</v>
      </c>
      <c r="I80" s="212">
        <f>IF(F$18=0,0,F80*(VLOOKUP($C80,Données!$B$137:$G$141,5,FALSE())*(F$15+F$16)/F$18+VLOOKUP($C80,Données!$B$142:$G$146,5,FALSE())*F$17/F$18)*F$23)</f>
        <v>0</v>
      </c>
      <c r="J80" s="235"/>
      <c r="K80" s="214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1"/>
      <c r="AN80" s="141"/>
      <c r="AO80" s="141"/>
      <c r="AP80" s="141"/>
      <c r="AQ80" s="141"/>
      <c r="AR80" s="141"/>
      <c r="AS80" s="141"/>
      <c r="AT80" s="141"/>
      <c r="AU80" s="141"/>
      <c r="AV80" s="141"/>
      <c r="AW80" s="141"/>
      <c r="AX80" s="141"/>
      <c r="AY80" s="141"/>
      <c r="AZ80" s="141"/>
      <c r="BA80" s="141"/>
      <c r="BB80" s="141"/>
      <c r="BC80" s="141"/>
      <c r="BD80" s="141"/>
      <c r="BE80" s="141"/>
      <c r="BF80" s="141"/>
      <c r="BG80" s="141"/>
      <c r="BH80" s="141"/>
      <c r="BI80" s="141"/>
      <c r="BJ80" s="141"/>
      <c r="BK80" s="141"/>
      <c r="BL80" s="141"/>
      <c r="BM80" s="141"/>
    </row>
    <row r="81" spans="1:65" ht="16.5" customHeight="1" outlineLevel="2" x14ac:dyDescent="0.2">
      <c r="A81" s="133"/>
      <c r="B81" s="215" t="str">
        <f>IF(SUM(E80:E81)&gt;1,"somme &gt; 100%",IF(SUM(E80:E81)&gt;0,IF(SUM(E80:E81)&lt;1,"fondations incomplètes",""),""))</f>
        <v/>
      </c>
      <c r="C81" s="208" t="s">
        <v>139</v>
      </c>
      <c r="D81" s="702"/>
      <c r="E81" s="210"/>
      <c r="F81" s="210"/>
      <c r="G81" s="211" t="str">
        <f>IF(C81="-","",G80)</f>
        <v/>
      </c>
      <c r="H81" s="212" t="str">
        <f>IF(E81="","",E81*(VLOOKUP($C81,Données!$B$137:$G$141,3,FALSE())*(E$15+E$16)/E$18+VLOOKUP($C81,Données!$B$142:$G$146,3,FALSE())*E$17/E$18)*E$23)</f>
        <v/>
      </c>
      <c r="I81" s="212" t="str">
        <f>IF(F81="","",F81*(VLOOKUP($C81,Données!$B$137:$G$141,5,FALSE())*(F$15+F$16)/F$18+VLOOKUP($C81,Données!$B$142:$G$146,5,FALSE())*F$17/F$18)*F$23)</f>
        <v/>
      </c>
      <c r="J81" s="245"/>
      <c r="K81" s="214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41"/>
      <c r="AA81" s="141"/>
      <c r="AB81" s="141"/>
      <c r="AC81" s="141"/>
      <c r="AD81" s="141"/>
      <c r="AE81" s="141"/>
      <c r="AF81" s="141"/>
      <c r="AG81" s="141"/>
      <c r="AH81" s="141"/>
      <c r="AI81" s="141"/>
      <c r="AJ81" s="141"/>
      <c r="AK81" s="141"/>
      <c r="AL81" s="141"/>
      <c r="AM81" s="141"/>
      <c r="AN81" s="141"/>
      <c r="AO81" s="141"/>
      <c r="AP81" s="141"/>
      <c r="AQ81" s="141"/>
      <c r="AR81" s="141"/>
      <c r="AS81" s="141"/>
      <c r="AT81" s="141"/>
      <c r="AU81" s="141"/>
      <c r="AV81" s="141"/>
      <c r="AW81" s="141"/>
      <c r="AX81" s="141"/>
      <c r="AY81" s="141"/>
      <c r="AZ81" s="141"/>
      <c r="BA81" s="141"/>
      <c r="BB81" s="141"/>
      <c r="BC81" s="141"/>
      <c r="BD81" s="141"/>
      <c r="BE81" s="141"/>
      <c r="BF81" s="141"/>
      <c r="BG81" s="141"/>
      <c r="BH81" s="141"/>
      <c r="BI81" s="141"/>
      <c r="BJ81" s="141"/>
      <c r="BK81" s="141"/>
      <c r="BL81" s="141"/>
      <c r="BM81" s="141"/>
    </row>
    <row r="82" spans="1:65" ht="5.25" customHeight="1" outlineLevel="2" x14ac:dyDescent="0.2">
      <c r="A82" s="133"/>
      <c r="B82" s="204"/>
      <c r="C82" s="246"/>
      <c r="D82" s="246"/>
      <c r="E82" s="235"/>
      <c r="F82" s="235"/>
      <c r="G82" s="247"/>
      <c r="H82" s="234"/>
      <c r="I82" s="234"/>
      <c r="J82" s="235"/>
      <c r="K82" s="144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  <c r="AA82" s="141"/>
      <c r="AB82" s="141"/>
      <c r="AC82" s="141"/>
      <c r="AD82" s="141"/>
      <c r="AE82" s="141"/>
      <c r="AF82" s="141"/>
      <c r="AG82" s="141"/>
      <c r="AH82" s="141"/>
      <c r="AI82" s="141"/>
      <c r="AJ82" s="141"/>
      <c r="AK82" s="141"/>
      <c r="AL82" s="141"/>
      <c r="AM82" s="141"/>
      <c r="AN82" s="141"/>
      <c r="AO82" s="141"/>
      <c r="AP82" s="141"/>
      <c r="AQ82" s="141"/>
      <c r="AR82" s="141"/>
      <c r="AS82" s="141"/>
      <c r="AT82" s="141"/>
      <c r="AU82" s="141"/>
      <c r="AV82" s="141"/>
      <c r="AW82" s="141"/>
      <c r="AX82" s="141"/>
      <c r="AY82" s="141"/>
      <c r="AZ82" s="141"/>
      <c r="BA82" s="141"/>
      <c r="BB82" s="141"/>
      <c r="BC82" s="141"/>
      <c r="BD82" s="141"/>
      <c r="BE82" s="141"/>
      <c r="BF82" s="141"/>
      <c r="BG82" s="141"/>
      <c r="BH82" s="141"/>
      <c r="BI82" s="141"/>
      <c r="BJ82" s="141"/>
      <c r="BK82" s="141"/>
      <c r="BL82" s="141"/>
      <c r="BM82" s="141"/>
    </row>
    <row r="83" spans="1:65" ht="16.5" customHeight="1" outlineLevel="2" x14ac:dyDescent="0.2">
      <c r="A83" s="133"/>
      <c r="B83" s="197" t="s">
        <v>184</v>
      </c>
      <c r="C83" s="208" t="s">
        <v>139</v>
      </c>
      <c r="D83" s="702"/>
      <c r="E83" s="210">
        <v>0</v>
      </c>
      <c r="F83" s="210">
        <v>0</v>
      </c>
      <c r="G83" s="211" t="s">
        <v>185</v>
      </c>
      <c r="H83" s="212">
        <f>E83*VLOOKUP($C83,Données!$B$147:$G$154,3,FALSE())*E$25</f>
        <v>0</v>
      </c>
      <c r="I83" s="212">
        <f>F83*VLOOKUP($C83,Données!$B$147:$G$154,5,FALSE())*F$25</f>
        <v>0</v>
      </c>
      <c r="J83" s="212" t="b">
        <f>IF(J$75&gt;0,IF(J$75&gt;VLOOKUP($C83,Données!$B$147:$G$154,6,FALSE()),"",F83*F$25*VLOOKUP($C83,Données!$B$147:$G$154,3,FALSE())*(1-J$75/VLOOKUP($C83,Données!$B$147:$G$154,6,FALSE()))))</f>
        <v>0</v>
      </c>
      <c r="K83" s="214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D83" s="141"/>
      <c r="AE83" s="141"/>
      <c r="AF83" s="141"/>
      <c r="AG83" s="141"/>
      <c r="AH83" s="141"/>
      <c r="AI83" s="141"/>
      <c r="AJ83" s="141"/>
      <c r="AK83" s="141"/>
      <c r="AL83" s="141"/>
      <c r="AM83" s="141"/>
      <c r="AN83" s="141"/>
      <c r="AO83" s="141"/>
      <c r="AP83" s="141"/>
      <c r="AQ83" s="141"/>
      <c r="AR83" s="141"/>
      <c r="AS83" s="141"/>
      <c r="AT83" s="141"/>
      <c r="AU83" s="141"/>
      <c r="AV83" s="141"/>
      <c r="AW83" s="141"/>
      <c r="AX83" s="141"/>
      <c r="AY83" s="141"/>
      <c r="AZ83" s="141"/>
      <c r="BA83" s="141"/>
      <c r="BB83" s="141"/>
      <c r="BC83" s="141"/>
      <c r="BD83" s="141"/>
      <c r="BE83" s="141"/>
      <c r="BF83" s="141"/>
      <c r="BG83" s="141"/>
      <c r="BH83" s="141"/>
      <c r="BI83" s="141"/>
      <c r="BJ83" s="141"/>
      <c r="BK83" s="141"/>
      <c r="BL83" s="141"/>
      <c r="BM83" s="141"/>
    </row>
    <row r="84" spans="1:65" ht="16.5" customHeight="1" outlineLevel="2" x14ac:dyDescent="0.2">
      <c r="A84" s="133"/>
      <c r="B84" s="215" t="str">
        <f>IF(OR(SUM(E83:E84)&gt;1,SUM(F83:F84)&gt;1),"somme &gt; 100%","")</f>
        <v/>
      </c>
      <c r="C84" s="208" t="s">
        <v>139</v>
      </c>
      <c r="D84" s="702"/>
      <c r="E84" s="210"/>
      <c r="F84" s="210"/>
      <c r="G84" s="211" t="str">
        <f>IF(C84="-","",G83)</f>
        <v/>
      </c>
      <c r="H84" s="212" t="str">
        <f>IF(E84="","",E84*VLOOKUP($C84,Données!$B$147:$G$154,3,FALSE())*E$25)</f>
        <v/>
      </c>
      <c r="I84" s="212" t="str">
        <f>IF(F84="","",F84*VLOOKUP($C84,Données!$B$147:$G$154,5,FALSE())*F$25)</f>
        <v/>
      </c>
      <c r="J84" s="212" t="b">
        <f>IF(J$75&gt;0,IF($E84="","",IF(J$75&gt;VLOOKUP($C84,Données!$B$147:$G$154,6,FALSE()),"",E84*F$25*VLOOKUP($C84,Données!$B$147:$G$154,3,FALSE())*(1-J$75/VLOOKUP($C84,Données!$B$147:$G$154,6,FALSE())))))</f>
        <v>0</v>
      </c>
      <c r="K84" s="214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D84" s="141"/>
      <c r="AE84" s="141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41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  <c r="BF84" s="141"/>
      <c r="BG84" s="141"/>
      <c r="BH84" s="141"/>
      <c r="BI84" s="141"/>
      <c r="BJ84" s="141"/>
      <c r="BK84" s="141"/>
      <c r="BL84" s="141"/>
      <c r="BM84" s="141"/>
    </row>
    <row r="85" spans="1:65" ht="5.25" customHeight="1" outlineLevel="2" x14ac:dyDescent="0.2">
      <c r="A85" s="133"/>
      <c r="B85" s="204"/>
      <c r="C85" s="246"/>
      <c r="D85" s="246"/>
      <c r="E85" s="235"/>
      <c r="F85" s="235"/>
      <c r="G85" s="247"/>
      <c r="H85" s="234"/>
      <c r="I85" s="234"/>
      <c r="J85" s="235"/>
      <c r="K85" s="144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41"/>
      <c r="AE85" s="141"/>
      <c r="AF85" s="141"/>
      <c r="AG85" s="141"/>
      <c r="AH85" s="141"/>
      <c r="AI85" s="141"/>
      <c r="AJ85" s="141"/>
      <c r="AK85" s="141"/>
      <c r="AL85" s="141"/>
      <c r="AM85" s="141"/>
      <c r="AN85" s="141"/>
      <c r="AO85" s="141"/>
      <c r="AP85" s="141"/>
      <c r="AQ85" s="141"/>
      <c r="AR85" s="141"/>
      <c r="AS85" s="141"/>
      <c r="AT85" s="141"/>
      <c r="AU85" s="141"/>
      <c r="AV85" s="141"/>
      <c r="AW85" s="141"/>
      <c r="AX85" s="141"/>
      <c r="AY85" s="141"/>
      <c r="AZ85" s="141"/>
      <c r="BA85" s="141"/>
      <c r="BB85" s="141"/>
      <c r="BC85" s="141"/>
      <c r="BD85" s="141"/>
      <c r="BE85" s="141"/>
      <c r="BF85" s="141"/>
      <c r="BG85" s="141"/>
      <c r="BH85" s="141"/>
      <c r="BI85" s="141"/>
      <c r="BJ85" s="141"/>
      <c r="BK85" s="141"/>
      <c r="BL85" s="141"/>
      <c r="BM85" s="141"/>
    </row>
    <row r="86" spans="1:65" ht="16.5" customHeight="1" outlineLevel="2" x14ac:dyDescent="0.2">
      <c r="A86" s="133"/>
      <c r="B86" s="197" t="s">
        <v>104</v>
      </c>
      <c r="C86" s="208" t="s">
        <v>139</v>
      </c>
      <c r="D86" s="702"/>
      <c r="E86" s="210">
        <v>0</v>
      </c>
      <c r="F86" s="210">
        <v>0</v>
      </c>
      <c r="G86" s="211" t="s">
        <v>186</v>
      </c>
      <c r="H86" s="212">
        <f>IF(E$18=0,0,E86*(VLOOKUP($C86,Données!$B$156:$G$166,3,FALSE())*(E$15+E$16)/E$18+VLOOKUP($C86,Données!$B$167:$G$177,3,FALSE())*E$17/E$18)*E$24)</f>
        <v>0</v>
      </c>
      <c r="I86" s="212">
        <f>IF(F$18=0,0,F86*(VLOOKUP($C86,Données!$B$156:$G$166,5,FALSE())*(F$15+F$16)/F$18+VLOOKUP($C86,Données!$B$167:$G$177,5,FALSE())*F$17/F$18)*F$24)</f>
        <v>0</v>
      </c>
      <c r="J86" s="212" t="b">
        <f>IF(J$75&gt;0,IF(J$75&gt;VLOOKUP($C86,Données!$B$156:$G$166,6,FALSE()),"",F86*F$24*VLOOKUP($C86,Données!$B$156:$G$166,3,FALSE())*(1-J$75/VLOOKUP($C86,Données!$B$156:$G$166,6,FALSE()))))</f>
        <v>0</v>
      </c>
      <c r="K86" s="214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D86" s="141"/>
      <c r="AE86" s="141"/>
      <c r="AF86" s="141"/>
      <c r="AG86" s="141"/>
      <c r="AH86" s="141"/>
      <c r="AI86" s="141"/>
      <c r="AJ86" s="141"/>
      <c r="AK86" s="141"/>
      <c r="AL86" s="141"/>
      <c r="AM86" s="141"/>
      <c r="AN86" s="141"/>
      <c r="AO86" s="141"/>
      <c r="AP86" s="141"/>
      <c r="AQ86" s="141"/>
      <c r="AR86" s="141"/>
      <c r="AS86" s="141"/>
      <c r="AT86" s="141"/>
      <c r="AU86" s="141"/>
      <c r="AV86" s="141"/>
      <c r="AW86" s="141"/>
      <c r="AX86" s="141"/>
      <c r="AY86" s="141"/>
      <c r="AZ86" s="141"/>
      <c r="BA86" s="141"/>
      <c r="BB86" s="141"/>
      <c r="BC86" s="141"/>
      <c r="BD86" s="141"/>
      <c r="BE86" s="141"/>
      <c r="BF86" s="141"/>
      <c r="BG86" s="141"/>
      <c r="BH86" s="141"/>
      <c r="BI86" s="141"/>
      <c r="BJ86" s="141"/>
      <c r="BK86" s="141"/>
      <c r="BL86" s="141"/>
      <c r="BM86" s="141"/>
    </row>
    <row r="87" spans="1:65" ht="16.5" customHeight="1" outlineLevel="2" x14ac:dyDescent="0.2">
      <c r="A87" s="133"/>
      <c r="B87" s="215" t="str">
        <f>IF(OR(SUM(E86:E87)&gt;1,SUM(F86:F87)&gt;1),"somme &gt; 100%","")</f>
        <v/>
      </c>
      <c r="C87" s="208" t="s">
        <v>139</v>
      </c>
      <c r="D87" s="702"/>
      <c r="E87" s="210"/>
      <c r="F87" s="210"/>
      <c r="G87" s="211" t="str">
        <f>IF(C87="-","",G86)</f>
        <v/>
      </c>
      <c r="H87" s="212" t="str">
        <f>IF(E87="","",E87*(VLOOKUP($C87,Données!$B$156:$G$166,3,FALSE())*(E$15+E$16)/E$18+VLOOKUP($C87,Données!$B$167:$G$177,3,FALSE())*E$17/E$18)*(E$24+E$27))</f>
        <v/>
      </c>
      <c r="I87" s="212" t="str">
        <f>IF(F87="","",F87*(VLOOKUP($C87,Données!$B$156:$G$166,5,FALSE())*(F$15+F$16)/F$18+VLOOKUP($C87,Données!$B$167:$G$177,5,FALSE())*F$17/F$18)*(F$24+F$27))</f>
        <v/>
      </c>
      <c r="J87" s="212" t="b">
        <f>IF(J$75&gt;0,IF($E87="","",IF(J$75&gt;VLOOKUP($C87,Données!$B$156:$G$166,6,FALSE()),"",E87*(F$24+F$27)*VLOOKUP($C87,Données!$B$156:$G$166,3,FALSE())*(1-J$75/VLOOKUP($C87,Données!$B$156:$G$166,6,FALSE())))))</f>
        <v>0</v>
      </c>
      <c r="K87" s="214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1"/>
      <c r="AB87" s="141"/>
      <c r="AC87" s="141"/>
      <c r="AD87" s="141"/>
      <c r="AE87" s="141"/>
      <c r="AF87" s="141"/>
      <c r="AG87" s="141"/>
      <c r="AH87" s="141"/>
      <c r="AI87" s="141"/>
      <c r="AJ87" s="141"/>
      <c r="AK87" s="141"/>
      <c r="AL87" s="141"/>
      <c r="AM87" s="141"/>
      <c r="AN87" s="141"/>
      <c r="AO87" s="141"/>
      <c r="AP87" s="141"/>
      <c r="AQ87" s="141"/>
      <c r="AR87" s="141"/>
      <c r="AS87" s="141"/>
      <c r="AT87" s="141"/>
      <c r="AU87" s="141"/>
      <c r="AV87" s="141"/>
      <c r="AW87" s="141"/>
      <c r="AX87" s="141"/>
      <c r="AY87" s="141"/>
      <c r="AZ87" s="141"/>
      <c r="BA87" s="141"/>
      <c r="BB87" s="141"/>
      <c r="BC87" s="141"/>
      <c r="BD87" s="141"/>
      <c r="BE87" s="141"/>
      <c r="BF87" s="141"/>
      <c r="BG87" s="141"/>
      <c r="BH87" s="141"/>
      <c r="BI87" s="141"/>
      <c r="BJ87" s="141"/>
      <c r="BK87" s="141"/>
      <c r="BL87" s="141"/>
      <c r="BM87" s="141"/>
    </row>
    <row r="88" spans="1:65" ht="5.25" customHeight="1" outlineLevel="2" x14ac:dyDescent="0.2">
      <c r="A88" s="133"/>
      <c r="B88" s="204"/>
      <c r="C88" s="246"/>
      <c r="D88" s="246"/>
      <c r="E88" s="235"/>
      <c r="F88" s="235"/>
      <c r="G88" s="247"/>
      <c r="H88" s="235"/>
      <c r="I88" s="235"/>
      <c r="J88" s="235"/>
      <c r="K88" s="144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141"/>
      <c r="Z88" s="141"/>
      <c r="AA88" s="141"/>
      <c r="AB88" s="141"/>
      <c r="AC88" s="141"/>
      <c r="AD88" s="141"/>
      <c r="AE88" s="141"/>
      <c r="AF88" s="141"/>
      <c r="AG88" s="141"/>
      <c r="AH88" s="141"/>
      <c r="AI88" s="141"/>
      <c r="AJ88" s="141"/>
      <c r="AK88" s="141"/>
      <c r="AL88" s="141"/>
      <c r="AM88" s="141"/>
      <c r="AN88" s="141"/>
      <c r="AO88" s="141"/>
      <c r="AP88" s="141"/>
      <c r="AQ88" s="141"/>
      <c r="AR88" s="141"/>
      <c r="AS88" s="141"/>
      <c r="AT88" s="141"/>
      <c r="AU88" s="141"/>
      <c r="AV88" s="141"/>
      <c r="AW88" s="141"/>
      <c r="AX88" s="141"/>
      <c r="AY88" s="141"/>
      <c r="AZ88" s="141"/>
      <c r="BA88" s="141"/>
      <c r="BB88" s="141"/>
      <c r="BC88" s="141"/>
      <c r="BD88" s="141"/>
      <c r="BE88" s="141"/>
      <c r="BF88" s="141"/>
      <c r="BG88" s="141"/>
      <c r="BH88" s="141"/>
      <c r="BI88" s="141"/>
      <c r="BJ88" s="141"/>
      <c r="BK88" s="141"/>
      <c r="BL88" s="141"/>
      <c r="BM88" s="141"/>
    </row>
    <row r="89" spans="1:65" ht="16.5" customHeight="1" outlineLevel="2" x14ac:dyDescent="0.2">
      <c r="A89" s="133"/>
      <c r="B89" s="197" t="s">
        <v>187</v>
      </c>
      <c r="C89" s="208" t="s">
        <v>139</v>
      </c>
      <c r="D89" s="702"/>
      <c r="E89" s="210">
        <v>0</v>
      </c>
      <c r="F89" s="210">
        <v>0</v>
      </c>
      <c r="G89" s="211" t="s">
        <v>186</v>
      </c>
      <c r="H89" s="212">
        <f>IF(E$18=0,0,E89*((VLOOKUP($C89,Données!$B$179:$G$184,3,FALSE())+Données!$D$185)*(E$15+E$16)/E$18+(VLOOKUP($C89,Données!$B$186:$G$191,3,FALSE())+Données!$D$192)*E$17/E$18)*E$24)</f>
        <v>0</v>
      </c>
      <c r="I89" s="212">
        <f>IF(F$18=0,0,F89*((VLOOKUP($C89,Données!$B$179:$G$184,5,FALSE())+Données!$F$185)*(F$15+F$16)/F$18+(VLOOKUP($C89,Données!$B$186:$G$191,5,FALSE())+Données!$F$192)*F$17/F$18)*F$24)</f>
        <v>0</v>
      </c>
      <c r="J89" s="212" t="b">
        <f>IF(J$75&gt;0,IF(J$75&gt;VLOOKUP($C89,Données!$B$179:$G$184,6,FALSE()),"",F89*F$24*(VLOOKUP($C89,Données!$B$179:$G$184,3,FALSE())+Données!$D$185)*(1-J$75/VLOOKUP($C89,Données!$B$179:$G$184,6,FALSE()))))</f>
        <v>0</v>
      </c>
      <c r="K89" s="214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  <c r="AA89" s="141"/>
      <c r="AB89" s="141"/>
      <c r="AC89" s="141"/>
      <c r="AD89" s="141"/>
      <c r="AE89" s="141"/>
      <c r="AF89" s="141"/>
      <c r="AG89" s="141"/>
      <c r="AH89" s="141"/>
      <c r="AI89" s="141"/>
      <c r="AJ89" s="141"/>
      <c r="AK89" s="141"/>
      <c r="AL89" s="141"/>
      <c r="AM89" s="141"/>
      <c r="AN89" s="141"/>
      <c r="AO89" s="141"/>
      <c r="AP89" s="141"/>
      <c r="AQ89" s="141"/>
      <c r="AR89" s="141"/>
      <c r="AS89" s="141"/>
      <c r="AT89" s="141"/>
      <c r="AU89" s="141"/>
      <c r="AV89" s="141"/>
      <c r="AW89" s="141"/>
      <c r="AX89" s="141"/>
      <c r="AY89" s="141"/>
      <c r="AZ89" s="141"/>
      <c r="BA89" s="141"/>
      <c r="BB89" s="141"/>
      <c r="BC89" s="141"/>
      <c r="BD89" s="141"/>
      <c r="BE89" s="141"/>
      <c r="BF89" s="141"/>
      <c r="BG89" s="141"/>
      <c r="BH89" s="141"/>
      <c r="BI89" s="141"/>
      <c r="BJ89" s="141"/>
      <c r="BK89" s="141"/>
      <c r="BL89" s="141"/>
      <c r="BM89" s="141"/>
    </row>
    <row r="90" spans="1:65" ht="16.5" customHeight="1" outlineLevel="2" x14ac:dyDescent="0.2">
      <c r="A90" s="133"/>
      <c r="B90" s="215" t="str">
        <f>IF(OR(SUM(E89:E90)&gt;1,SUM(F89:F90)&gt;1),"somme &gt; 100%","")</f>
        <v/>
      </c>
      <c r="C90" s="208" t="s">
        <v>139</v>
      </c>
      <c r="D90" s="702"/>
      <c r="E90" s="210"/>
      <c r="F90" s="210"/>
      <c r="G90" s="211" t="str">
        <f>IF(C90="-","",G89)</f>
        <v/>
      </c>
      <c r="H90" s="212" t="str">
        <f>IF(E90="","",E90*((VLOOKUP($C90,Données!$B$179:$G$184,3,FALSE())+Données!$D$185)*(E$15+E$16)/E$18+(VLOOKUP($C90,Données!$B$186:$G$191,3,FALSE())+Données!$D$192)*E$17/E$18)*E$24)</f>
        <v/>
      </c>
      <c r="I90" s="212" t="str">
        <f>IF(F90="","",F90*((VLOOKUP($C90,Données!$B$179:$G$184,5,FALSE())+Données!$F$185)*(F$15+F$16)/F$18+(VLOOKUP($C90,Données!$B$186:$G$191,5,FALSE())+Données!$F$192)*F$17/F$18)*F$24)</f>
        <v/>
      </c>
      <c r="J90" s="212" t="b">
        <f>IF(J$75&gt;0,IF($E90="","",IF(J$75&gt;VLOOKUP($C90,Données!$B$179:$G$184,6,FALSE()),"",E90*F$24*(VLOOKUP($C90,Données!$B$179:$G$184,3,FALSE())+Données!$D$185)*(1-J$75/VLOOKUP($C90,Données!$B$179:$G$184,6,FALSE())))))</f>
        <v>0</v>
      </c>
      <c r="K90" s="214"/>
      <c r="L90" s="141"/>
      <c r="M90" s="141"/>
      <c r="N90" s="141"/>
      <c r="O90" s="141"/>
      <c r="P90" s="141"/>
      <c r="Q90" s="141"/>
      <c r="R90" s="141"/>
      <c r="S90" s="141"/>
      <c r="T90" s="141"/>
      <c r="U90" s="141"/>
      <c r="V90" s="141"/>
      <c r="W90" s="141"/>
      <c r="X90" s="141"/>
      <c r="Y90" s="141"/>
      <c r="Z90" s="141"/>
      <c r="AA90" s="141"/>
      <c r="AB90" s="141"/>
      <c r="AC90" s="141"/>
      <c r="AD90" s="141"/>
      <c r="AE90" s="141"/>
      <c r="AF90" s="141"/>
      <c r="AG90" s="141"/>
      <c r="AH90" s="141"/>
      <c r="AI90" s="141"/>
      <c r="AJ90" s="141"/>
      <c r="AK90" s="141"/>
      <c r="AL90" s="141"/>
      <c r="AM90" s="141"/>
      <c r="AN90" s="141"/>
      <c r="AO90" s="141"/>
      <c r="AP90" s="141"/>
      <c r="AQ90" s="141"/>
      <c r="AR90" s="141"/>
      <c r="AS90" s="141"/>
      <c r="AT90" s="141"/>
      <c r="AU90" s="141"/>
      <c r="AV90" s="141"/>
      <c r="AW90" s="141"/>
      <c r="AX90" s="141"/>
      <c r="AY90" s="141"/>
      <c r="AZ90" s="141"/>
      <c r="BA90" s="141"/>
      <c r="BB90" s="141"/>
      <c r="BC90" s="141"/>
      <c r="BD90" s="141"/>
      <c r="BE90" s="141"/>
      <c r="BF90" s="141"/>
      <c r="BG90" s="141"/>
      <c r="BH90" s="141"/>
      <c r="BI90" s="141"/>
      <c r="BJ90" s="141"/>
      <c r="BK90" s="141"/>
      <c r="BL90" s="141"/>
      <c r="BM90" s="141"/>
    </row>
    <row r="91" spans="1:65" ht="5.25" customHeight="1" outlineLevel="2" x14ac:dyDescent="0.2">
      <c r="A91" s="133"/>
      <c r="B91" s="204"/>
      <c r="C91" s="246"/>
      <c r="D91" s="246"/>
      <c r="E91" s="235"/>
      <c r="F91" s="235"/>
      <c r="G91" s="247"/>
      <c r="H91" s="235"/>
      <c r="I91" s="235"/>
      <c r="J91" s="235"/>
      <c r="K91" s="144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  <c r="AA91" s="141"/>
      <c r="AB91" s="141"/>
      <c r="AC91" s="141"/>
      <c r="AD91" s="141"/>
      <c r="AE91" s="141"/>
      <c r="AF91" s="141"/>
      <c r="AG91" s="141"/>
      <c r="AH91" s="141"/>
      <c r="AI91" s="141"/>
      <c r="AJ91" s="141"/>
      <c r="AK91" s="141"/>
      <c r="AL91" s="141"/>
      <c r="AM91" s="141"/>
      <c r="AN91" s="141"/>
      <c r="AO91" s="141"/>
      <c r="AP91" s="141"/>
      <c r="AQ91" s="141"/>
      <c r="AR91" s="141"/>
      <c r="AS91" s="141"/>
      <c r="AT91" s="141"/>
      <c r="AU91" s="141"/>
      <c r="AV91" s="141"/>
      <c r="AW91" s="141"/>
      <c r="AX91" s="141"/>
      <c r="AY91" s="141"/>
      <c r="AZ91" s="141"/>
      <c r="BA91" s="141"/>
      <c r="BB91" s="141"/>
      <c r="BC91" s="141"/>
      <c r="BD91" s="141"/>
      <c r="BE91" s="141"/>
      <c r="BF91" s="141"/>
      <c r="BG91" s="141"/>
      <c r="BH91" s="141"/>
      <c r="BI91" s="141"/>
      <c r="BJ91" s="141"/>
      <c r="BK91" s="141"/>
      <c r="BL91" s="141"/>
      <c r="BM91" s="141"/>
    </row>
    <row r="92" spans="1:65" ht="16.5" customHeight="1" outlineLevel="2" x14ac:dyDescent="0.2">
      <c r="A92" s="133"/>
      <c r="B92" s="197" t="s">
        <v>123</v>
      </c>
      <c r="C92" s="208" t="s">
        <v>139</v>
      </c>
      <c r="D92" s="702"/>
      <c r="E92" s="210">
        <v>0</v>
      </c>
      <c r="F92" s="210">
        <v>0</v>
      </c>
      <c r="G92" s="211" t="s">
        <v>188</v>
      </c>
      <c r="H92" s="212">
        <f>E92*VLOOKUP($C92,Données!$B$194:$G$199,3,FALSE())*E$27</f>
        <v>0</v>
      </c>
      <c r="I92" s="212">
        <f>F92*VLOOKUP($C92,Données!$B$194:$G$199,5,FALSE())*F$27</f>
        <v>0</v>
      </c>
      <c r="J92" s="212" t="b">
        <f>IF(J$75&gt;0,IF(J$75&gt;VLOOKUP($C92,Données!$B$194:$G$199,6,FALSE()),"",F92*F$27*(VLOOKUP($C92,Données!$B$194:$G$199,3,FALSE()))*(1-J$75/VLOOKUP($C92,Données!$B$194:$G$199,6,FALSE()))))</f>
        <v>0</v>
      </c>
      <c r="K92" s="214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W92" s="141"/>
      <c r="X92" s="141"/>
      <c r="Y92" s="141"/>
      <c r="Z92" s="141"/>
      <c r="AA92" s="141"/>
      <c r="AB92" s="141"/>
      <c r="AC92" s="141"/>
      <c r="AD92" s="141"/>
      <c r="AE92" s="141"/>
      <c r="AF92" s="141"/>
      <c r="AG92" s="141"/>
      <c r="AH92" s="141"/>
      <c r="AI92" s="141"/>
      <c r="AJ92" s="141"/>
      <c r="AK92" s="141"/>
      <c r="AL92" s="141"/>
      <c r="AM92" s="141"/>
      <c r="AN92" s="141"/>
      <c r="AO92" s="141"/>
      <c r="AP92" s="141"/>
      <c r="AQ92" s="141"/>
      <c r="AR92" s="141"/>
      <c r="AS92" s="141"/>
      <c r="AT92" s="141"/>
      <c r="AU92" s="141"/>
      <c r="AV92" s="141"/>
      <c r="AW92" s="141"/>
      <c r="AX92" s="141"/>
      <c r="AY92" s="141"/>
      <c r="AZ92" s="141"/>
      <c r="BA92" s="141"/>
      <c r="BB92" s="141"/>
      <c r="BC92" s="141"/>
      <c r="BD92" s="141"/>
      <c r="BE92" s="141"/>
      <c r="BF92" s="141"/>
      <c r="BG92" s="141"/>
      <c r="BH92" s="141"/>
      <c r="BI92" s="141"/>
      <c r="BJ92" s="141"/>
      <c r="BK92" s="141"/>
      <c r="BL92" s="141"/>
      <c r="BM92" s="141"/>
    </row>
    <row r="93" spans="1:65" ht="16.5" customHeight="1" outlineLevel="2" x14ac:dyDescent="0.2">
      <c r="A93" s="133"/>
      <c r="B93" s="215" t="str">
        <f>IF(OR(SUM(E92:E93)&gt;1,SUM(F92:F93)&gt;1),"somme &gt; 100%","")</f>
        <v/>
      </c>
      <c r="C93" s="208" t="s">
        <v>139</v>
      </c>
      <c r="D93" s="702"/>
      <c r="E93" s="210"/>
      <c r="F93" s="210"/>
      <c r="G93" s="211" t="str">
        <f>IF(C93="-","",G92)</f>
        <v/>
      </c>
      <c r="H93" s="212" t="str">
        <f>IF(E93="","",E93*VLOOKUP($C93,Données!$B$194:$G$199,3,FALSE())*E$27)</f>
        <v/>
      </c>
      <c r="I93" s="212" t="str">
        <f>IF(F93="","",F93*VLOOKUP($C93,Données!$B$194:$G$199,5,FALSE())*F$27)</f>
        <v/>
      </c>
      <c r="J93" s="212" t="b">
        <f>IF(J$75&gt;0,IF($E93="","",IF(J$75&gt;VLOOKUP($C93,Données!$B$194:$G$199,6,FALSE()),"",E93*F$27*VLOOKUP($C93,Données!$B$194:$G$199,3,FALSE())*(1-J$75/VLOOKUP($C93,Données!$B$194:$G$199,6,FALSE())))))</f>
        <v>0</v>
      </c>
      <c r="K93" s="214"/>
      <c r="L93" s="141"/>
      <c r="M93" s="141"/>
      <c r="N93" s="141"/>
      <c r="O93" s="141"/>
      <c r="P93" s="141"/>
      <c r="Q93" s="141"/>
      <c r="R93" s="141"/>
      <c r="S93" s="141"/>
      <c r="T93" s="141"/>
      <c r="U93" s="141"/>
      <c r="V93" s="141"/>
      <c r="W93" s="141"/>
      <c r="X93" s="141"/>
      <c r="Y93" s="141"/>
      <c r="Z93" s="141"/>
      <c r="AA93" s="141"/>
      <c r="AB93" s="141"/>
      <c r="AC93" s="141"/>
      <c r="AD93" s="141"/>
      <c r="AE93" s="141"/>
      <c r="AF93" s="141"/>
      <c r="AG93" s="141"/>
      <c r="AH93" s="141"/>
      <c r="AI93" s="141"/>
      <c r="AJ93" s="141"/>
      <c r="AK93" s="141"/>
      <c r="AL93" s="141"/>
      <c r="AM93" s="141"/>
      <c r="AN93" s="141"/>
      <c r="AO93" s="141"/>
      <c r="AP93" s="141"/>
      <c r="AQ93" s="141"/>
      <c r="AR93" s="141"/>
      <c r="AS93" s="141"/>
      <c r="AT93" s="141"/>
      <c r="AU93" s="141"/>
      <c r="AV93" s="141"/>
      <c r="AW93" s="141"/>
      <c r="AX93" s="141"/>
      <c r="AY93" s="141"/>
      <c r="AZ93" s="141"/>
      <c r="BA93" s="141"/>
      <c r="BB93" s="141"/>
      <c r="BC93" s="141"/>
      <c r="BD93" s="141"/>
      <c r="BE93" s="141"/>
      <c r="BF93" s="141"/>
      <c r="BG93" s="141"/>
      <c r="BH93" s="141"/>
      <c r="BI93" s="141"/>
      <c r="BJ93" s="141"/>
      <c r="BK93" s="141"/>
      <c r="BL93" s="141"/>
      <c r="BM93" s="141"/>
    </row>
    <row r="94" spans="1:65" ht="5.25" customHeight="1" outlineLevel="2" x14ac:dyDescent="0.2">
      <c r="A94" s="133"/>
      <c r="B94" s="204"/>
      <c r="C94" s="205"/>
      <c r="D94" s="205"/>
      <c r="E94" s="206"/>
      <c r="F94" s="206"/>
      <c r="G94" s="207"/>
      <c r="H94" s="234"/>
      <c r="I94" s="234"/>
      <c r="J94" s="235"/>
      <c r="K94" s="144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  <c r="X94" s="141"/>
      <c r="Y94" s="141"/>
      <c r="Z94" s="141"/>
      <c r="AA94" s="141"/>
      <c r="AB94" s="141"/>
      <c r="AC94" s="141"/>
      <c r="AD94" s="141"/>
      <c r="AE94" s="141"/>
      <c r="AF94" s="141"/>
      <c r="AG94" s="141"/>
      <c r="AH94" s="141"/>
      <c r="AI94" s="141"/>
      <c r="AJ94" s="141"/>
      <c r="AK94" s="141"/>
      <c r="AL94" s="141"/>
      <c r="AM94" s="141"/>
      <c r="AN94" s="141"/>
      <c r="AO94" s="141"/>
      <c r="AP94" s="141"/>
      <c r="AQ94" s="141"/>
      <c r="AR94" s="141"/>
      <c r="AS94" s="141"/>
      <c r="AT94" s="141"/>
      <c r="AU94" s="141"/>
      <c r="AV94" s="141"/>
      <c r="AW94" s="141"/>
      <c r="AX94" s="141"/>
      <c r="AY94" s="141"/>
      <c r="AZ94" s="141"/>
      <c r="BA94" s="141"/>
      <c r="BB94" s="141"/>
      <c r="BC94" s="141"/>
      <c r="BD94" s="141"/>
      <c r="BE94" s="141"/>
      <c r="BF94" s="141"/>
      <c r="BG94" s="141"/>
      <c r="BH94" s="141"/>
      <c r="BI94" s="141"/>
      <c r="BJ94" s="141"/>
      <c r="BK94" s="141"/>
      <c r="BL94" s="141"/>
      <c r="BM94" s="141"/>
    </row>
    <row r="95" spans="1:65" ht="16.5" customHeight="1" outlineLevel="2" x14ac:dyDescent="0.2">
      <c r="A95" s="133"/>
      <c r="B95" s="197" t="s">
        <v>171</v>
      </c>
      <c r="C95" s="236" t="s">
        <v>172</v>
      </c>
      <c r="D95" s="209"/>
      <c r="E95" s="1">
        <v>0</v>
      </c>
      <c r="F95" s="1">
        <v>0</v>
      </c>
      <c r="G95" s="211" t="str">
        <f>CONCATENATE("kgCO2e / ",G96)</f>
        <v>kgCO2e / unité</v>
      </c>
      <c r="H95" s="705">
        <f>E95*E96</f>
        <v>0</v>
      </c>
      <c r="I95" s="705">
        <f>F95*F96</f>
        <v>0</v>
      </c>
      <c r="J95" s="706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141"/>
      <c r="Z95" s="141"/>
      <c r="AA95" s="141"/>
      <c r="AB95" s="141"/>
      <c r="AC95" s="141"/>
      <c r="AD95" s="141"/>
      <c r="AE95" s="141"/>
      <c r="AF95" s="141"/>
      <c r="AG95" s="141"/>
      <c r="AH95" s="141"/>
      <c r="AI95" s="141"/>
      <c r="AJ95" s="141"/>
      <c r="AK95" s="141"/>
      <c r="AL95" s="141"/>
      <c r="AM95" s="141"/>
      <c r="AN95" s="141"/>
      <c r="AO95" s="141"/>
      <c r="AP95" s="141"/>
      <c r="AQ95" s="141"/>
      <c r="AR95" s="141"/>
      <c r="AS95" s="141"/>
      <c r="AT95" s="141"/>
      <c r="AU95" s="141"/>
      <c r="AV95" s="141"/>
      <c r="AW95" s="141"/>
      <c r="AX95" s="141"/>
    </row>
    <row r="96" spans="1:65" ht="16.5" customHeight="1" outlineLevel="2" x14ac:dyDescent="0.2">
      <c r="A96" s="133"/>
      <c r="B96" s="237" t="s">
        <v>173</v>
      </c>
      <c r="C96" s="236" t="s">
        <v>174</v>
      </c>
      <c r="D96" s="209"/>
      <c r="E96" s="1">
        <v>0</v>
      </c>
      <c r="F96" s="1">
        <v>0</v>
      </c>
      <c r="G96" s="238" t="s">
        <v>175</v>
      </c>
      <c r="H96" s="705"/>
      <c r="I96" s="705"/>
      <c r="J96" s="706"/>
      <c r="K96" s="141"/>
      <c r="L96" s="141"/>
      <c r="M96" s="141"/>
      <c r="N96" s="141"/>
      <c r="O96" s="141"/>
      <c r="P96" s="141"/>
      <c r="Q96" s="141"/>
      <c r="R96" s="141"/>
      <c r="S96" s="141"/>
      <c r="T96" s="141"/>
      <c r="U96" s="141"/>
      <c r="V96" s="141"/>
      <c r="W96" s="141"/>
      <c r="X96" s="141"/>
      <c r="Y96" s="141"/>
      <c r="Z96" s="141"/>
      <c r="AA96" s="141"/>
      <c r="AB96" s="141"/>
      <c r="AC96" s="141"/>
      <c r="AD96" s="141"/>
      <c r="AE96" s="141"/>
      <c r="AF96" s="141"/>
      <c r="AG96" s="141"/>
      <c r="AH96" s="141"/>
      <c r="AI96" s="141"/>
      <c r="AJ96" s="141"/>
      <c r="AK96" s="141"/>
      <c r="AL96" s="141"/>
      <c r="AM96" s="141"/>
      <c r="AN96" s="141"/>
      <c r="AO96" s="141"/>
      <c r="AP96" s="141"/>
      <c r="AQ96" s="141"/>
      <c r="AR96" s="141"/>
      <c r="AS96" s="141"/>
      <c r="AT96" s="141"/>
      <c r="AU96" s="141"/>
      <c r="AV96" s="141"/>
      <c r="AW96" s="141"/>
      <c r="AX96" s="141"/>
    </row>
    <row r="97" spans="1:65" ht="13.5" outlineLevel="1" x14ac:dyDescent="0.2">
      <c r="A97" s="133"/>
      <c r="B97" s="248"/>
      <c r="C97" s="178"/>
      <c r="D97" s="178"/>
      <c r="E97" s="179"/>
      <c r="F97" s="179"/>
      <c r="G97" s="217"/>
      <c r="H97" s="179"/>
      <c r="I97" s="179"/>
      <c r="J97" s="179"/>
      <c r="K97" s="144"/>
      <c r="L97" s="141"/>
      <c r="M97" s="141"/>
      <c r="N97" s="141"/>
      <c r="O97" s="141"/>
      <c r="P97" s="141"/>
      <c r="Q97" s="141"/>
      <c r="R97" s="141"/>
      <c r="S97" s="141"/>
      <c r="T97" s="141"/>
      <c r="U97" s="141"/>
      <c r="V97" s="141"/>
      <c r="W97" s="141"/>
      <c r="X97" s="141"/>
      <c r="Y97" s="141"/>
      <c r="Z97" s="141"/>
      <c r="AA97" s="141"/>
      <c r="AB97" s="141"/>
      <c r="AC97" s="141"/>
      <c r="AD97" s="141"/>
      <c r="AE97" s="141"/>
      <c r="AF97" s="141"/>
      <c r="AG97" s="141"/>
      <c r="AH97" s="141"/>
      <c r="AI97" s="141"/>
      <c r="AJ97" s="141"/>
      <c r="AK97" s="141"/>
      <c r="AL97" s="141"/>
      <c r="AM97" s="141"/>
      <c r="AN97" s="141"/>
      <c r="AO97" s="141"/>
      <c r="AP97" s="141"/>
      <c r="AQ97" s="141"/>
      <c r="AR97" s="141"/>
      <c r="AS97" s="141"/>
      <c r="AT97" s="141"/>
      <c r="AU97" s="141"/>
      <c r="AV97" s="141"/>
      <c r="AW97" s="141"/>
      <c r="AX97" s="141"/>
      <c r="AY97" s="141"/>
      <c r="AZ97" s="141"/>
      <c r="BA97" s="141"/>
      <c r="BB97" s="141"/>
      <c r="BC97" s="141"/>
      <c r="BD97" s="141"/>
      <c r="BE97" s="141"/>
      <c r="BF97" s="141"/>
      <c r="BG97" s="141"/>
      <c r="BH97" s="141"/>
      <c r="BI97" s="141"/>
      <c r="BJ97" s="141"/>
      <c r="BK97" s="141"/>
      <c r="BL97" s="141"/>
      <c r="BM97" s="141"/>
    </row>
    <row r="98" spans="1:65" ht="16.5" customHeight="1" outlineLevel="1" x14ac:dyDescent="0.2">
      <c r="A98" s="133"/>
      <c r="B98" s="218" t="s">
        <v>189</v>
      </c>
      <c r="C98" s="192"/>
      <c r="D98" s="192" t="s">
        <v>190</v>
      </c>
      <c r="E98" s="193"/>
      <c r="F98" s="193"/>
      <c r="G98" s="219"/>
      <c r="H98" s="195"/>
      <c r="I98" s="220" t="s">
        <v>146</v>
      </c>
      <c r="J98" s="241">
        <f>IF(PROJET!E$31&gt;2,IF(PROJET!$D$15-MAX(PROJET!$D$16,PROJET!$D$32,0)&lt;101,PROJET!$D$15-MAX(PROJET!$D$16,PROJET!$D$32,0),""),J$75)</f>
        <v>0</v>
      </c>
      <c r="K98" s="196"/>
      <c r="L98" s="141"/>
      <c r="M98" s="141"/>
      <c r="N98" s="141"/>
      <c r="O98" s="141"/>
      <c r="P98" s="141"/>
      <c r="Q98" s="141"/>
      <c r="R98" s="141"/>
      <c r="S98" s="141"/>
      <c r="T98" s="141"/>
      <c r="U98" s="141"/>
      <c r="V98" s="141"/>
      <c r="W98" s="141"/>
      <c r="X98" s="141"/>
      <c r="Y98" s="141"/>
      <c r="Z98" s="141"/>
      <c r="AA98" s="141"/>
      <c r="AB98" s="141"/>
      <c r="AC98" s="141"/>
      <c r="AD98" s="141"/>
      <c r="AE98" s="141"/>
      <c r="AF98" s="141"/>
      <c r="AG98" s="141"/>
      <c r="AH98" s="141"/>
      <c r="AI98" s="141"/>
      <c r="AJ98" s="141"/>
      <c r="AK98" s="141"/>
      <c r="AL98" s="141"/>
      <c r="AM98" s="141"/>
      <c r="AN98" s="141"/>
      <c r="AO98" s="141"/>
      <c r="AP98" s="141"/>
      <c r="AQ98" s="141"/>
      <c r="AR98" s="141"/>
      <c r="AS98" s="141"/>
      <c r="AT98" s="141"/>
      <c r="AU98" s="141"/>
      <c r="AV98" s="141"/>
      <c r="AW98" s="141"/>
      <c r="AX98" s="141"/>
      <c r="AY98" s="141"/>
      <c r="AZ98" s="141"/>
      <c r="BA98" s="141"/>
      <c r="BB98" s="141"/>
      <c r="BC98" s="141"/>
      <c r="BD98" s="141"/>
      <c r="BE98" s="141"/>
      <c r="BF98" s="141"/>
      <c r="BG98" s="141"/>
      <c r="BH98" s="141"/>
      <c r="BI98" s="141"/>
      <c r="BJ98" s="141"/>
      <c r="BK98" s="141"/>
      <c r="BL98" s="141"/>
      <c r="BM98" s="141"/>
    </row>
    <row r="99" spans="1:65" ht="16.5" customHeight="1" outlineLevel="2" x14ac:dyDescent="0.2">
      <c r="A99" s="133"/>
      <c r="B99" s="197" t="s">
        <v>191</v>
      </c>
      <c r="C99" s="249" t="s">
        <v>139</v>
      </c>
      <c r="D99" s="704"/>
      <c r="E99" s="250">
        <v>0</v>
      </c>
      <c r="F99" s="250">
        <v>0</v>
      </c>
      <c r="G99" s="222" t="s">
        <v>192</v>
      </c>
      <c r="H99" s="201">
        <f>E99*VLOOKUP($C99,Données!$B$201:$G$209,3,FALSE())*E$26</f>
        <v>0</v>
      </c>
      <c r="I99" s="201">
        <f>F99*VLOOKUP($C99,Données!$B$201:$G$209,5,FALSE())*F$26</f>
        <v>0</v>
      </c>
      <c r="J99" s="201" t="b">
        <f>IF(J$98&gt;0,IF(J$98&gt;VLOOKUP($C99,Données!$B$201:$G$209,6,FALSE()),"",F99*F$26*VLOOKUP($C99,Données!$B$201:$G$209,3,FALSE())*(1-J$98/VLOOKUP($C99,Données!$B$201:$G$209,6,FALSE()))))</f>
        <v>0</v>
      </c>
      <c r="K99" s="251"/>
      <c r="L99" s="143"/>
      <c r="M99" s="143"/>
      <c r="N99" s="143"/>
      <c r="O99" s="143"/>
      <c r="P99" s="143"/>
      <c r="Q99" s="143"/>
      <c r="R99" s="143"/>
      <c r="S99" s="143"/>
      <c r="T99" s="143"/>
      <c r="U99" s="141"/>
      <c r="V99" s="141"/>
      <c r="W99" s="141"/>
      <c r="X99" s="141"/>
      <c r="Y99" s="141"/>
      <c r="Z99" s="141"/>
      <c r="AA99" s="141"/>
      <c r="AB99" s="141"/>
      <c r="AC99" s="141"/>
      <c r="AD99" s="141"/>
      <c r="AE99" s="141"/>
      <c r="AF99" s="141"/>
      <c r="AG99" s="141"/>
      <c r="AH99" s="141"/>
      <c r="AI99" s="141"/>
      <c r="AJ99" s="141"/>
      <c r="AK99" s="141"/>
      <c r="AL99" s="141"/>
      <c r="AM99" s="141"/>
      <c r="AN99" s="141"/>
      <c r="AO99" s="141"/>
      <c r="AP99" s="141"/>
      <c r="AQ99" s="141"/>
      <c r="AR99" s="141"/>
      <c r="AS99" s="141"/>
      <c r="AT99" s="141"/>
      <c r="AU99" s="141"/>
      <c r="AV99" s="141"/>
      <c r="AW99" s="141"/>
      <c r="AX99" s="141"/>
      <c r="AY99" s="141"/>
      <c r="AZ99" s="141"/>
      <c r="BA99" s="141"/>
      <c r="BB99" s="141"/>
      <c r="BC99" s="141"/>
      <c r="BD99" s="141"/>
      <c r="BE99" s="141"/>
      <c r="BF99" s="141"/>
      <c r="BG99" s="141"/>
      <c r="BH99" s="141"/>
      <c r="BI99" s="141"/>
      <c r="BJ99" s="141"/>
      <c r="BK99" s="141"/>
      <c r="BL99" s="141"/>
      <c r="BM99" s="141"/>
    </row>
    <row r="100" spans="1:65" ht="16.5" customHeight="1" outlineLevel="2" x14ac:dyDescent="0.2">
      <c r="A100" s="133"/>
      <c r="B100" s="197"/>
      <c r="C100" s="208" t="s">
        <v>139</v>
      </c>
      <c r="D100" s="704"/>
      <c r="E100" s="210"/>
      <c r="F100" s="210"/>
      <c r="G100" s="211" t="str">
        <f>IF(C100="-","",G99)</f>
        <v/>
      </c>
      <c r="H100" s="212" t="str">
        <f>IF(E100="","",E100*VLOOKUP($C100,Données!$B$201:$G$209,3,FALSE())*E$26)</f>
        <v/>
      </c>
      <c r="I100" s="212" t="str">
        <f>IF(F100="","",F100*VLOOKUP($C100,Données!$B$201:$G$209,5,FALSE())*F$26)</f>
        <v/>
      </c>
      <c r="J100" s="212" t="b">
        <f>IF(J$98&gt;0,IF($E100="","",IF(J$98&gt;VLOOKUP($C100,Données!$B$201:$G$209,6,FALSE()),"",E100*F$26*VLOOKUP($C100,Données!$B$201:$G$209,3,FALSE())*(1-J$98/VLOOKUP($C100,Données!$B$201:$G$209,6,FALSE())))))</f>
        <v>0</v>
      </c>
      <c r="K100" s="214"/>
      <c r="L100" s="143"/>
      <c r="M100" s="143"/>
      <c r="N100" s="143"/>
      <c r="O100" s="143"/>
      <c r="P100" s="143"/>
      <c r="Q100" s="143"/>
      <c r="R100" s="143"/>
      <c r="S100" s="143"/>
      <c r="T100" s="143"/>
      <c r="U100" s="141"/>
      <c r="V100" s="141"/>
      <c r="W100" s="141"/>
      <c r="X100" s="141"/>
      <c r="Y100" s="141"/>
      <c r="Z100" s="141"/>
      <c r="AA100" s="141"/>
      <c r="AB100" s="141"/>
      <c r="AC100" s="141"/>
      <c r="AD100" s="141"/>
      <c r="AE100" s="141"/>
      <c r="AF100" s="141"/>
      <c r="AG100" s="141"/>
      <c r="AH100" s="141"/>
      <c r="AI100" s="141"/>
      <c r="AJ100" s="141"/>
      <c r="AK100" s="141"/>
      <c r="AL100" s="141"/>
      <c r="AM100" s="141"/>
      <c r="AN100" s="141"/>
      <c r="AO100" s="141"/>
      <c r="AP100" s="141"/>
      <c r="AQ100" s="141"/>
      <c r="AR100" s="141"/>
      <c r="AS100" s="141"/>
      <c r="AT100" s="141"/>
      <c r="AU100" s="141"/>
      <c r="AV100" s="141"/>
      <c r="AW100" s="141"/>
      <c r="AX100" s="141"/>
      <c r="AY100" s="141"/>
      <c r="AZ100" s="141"/>
      <c r="BA100" s="141"/>
      <c r="BB100" s="141"/>
      <c r="BC100" s="141"/>
      <c r="BD100" s="141"/>
      <c r="BE100" s="141"/>
      <c r="BF100" s="141"/>
      <c r="BG100" s="141"/>
      <c r="BH100" s="141"/>
      <c r="BI100" s="141"/>
      <c r="BJ100" s="141"/>
      <c r="BK100" s="141"/>
      <c r="BL100" s="141"/>
      <c r="BM100" s="141"/>
    </row>
    <row r="101" spans="1:65" ht="16.5" customHeight="1" outlineLevel="2" x14ac:dyDescent="0.2">
      <c r="A101" s="133"/>
      <c r="B101" s="252" t="s">
        <v>193</v>
      </c>
      <c r="C101" s="208" t="s">
        <v>139</v>
      </c>
      <c r="D101" s="702"/>
      <c r="E101" s="210">
        <v>0</v>
      </c>
      <c r="F101" s="210">
        <v>0</v>
      </c>
      <c r="G101" s="211" t="s">
        <v>192</v>
      </c>
      <c r="H101" s="212">
        <f>E101*VLOOKUP($C101,Données!$B$210:$G$217,3,FALSE())*E$26</f>
        <v>0</v>
      </c>
      <c r="I101" s="212">
        <f>F101*VLOOKUP($C101,Données!$B$210:$G$217,5,FALSE())*F$26</f>
        <v>0</v>
      </c>
      <c r="J101" s="212" t="b">
        <f>IF(J$98&gt;0,IF(J$98&gt;VLOOKUP($C101,Données!$B$210:$G$217,6,FALSE()),"",F101*F$26*VLOOKUP($C101,Données!$B$210:$G$217,3,FALSE())*(1-J$98/VLOOKUP($C101,Données!$B$210:$G$217,6,FALSE()))))</f>
        <v>0</v>
      </c>
      <c r="K101" s="214"/>
      <c r="L101" s="143"/>
      <c r="M101" s="143"/>
      <c r="N101" s="143"/>
      <c r="O101" s="143"/>
      <c r="P101" s="143"/>
      <c r="Q101" s="143"/>
      <c r="R101" s="143"/>
      <c r="S101" s="143"/>
      <c r="T101" s="143"/>
      <c r="U101" s="141"/>
      <c r="V101" s="141"/>
      <c r="W101" s="141"/>
      <c r="X101" s="141"/>
      <c r="Y101" s="141"/>
      <c r="Z101" s="141"/>
      <c r="AA101" s="141"/>
      <c r="AB101" s="141"/>
      <c r="AC101" s="141"/>
      <c r="AD101" s="141"/>
      <c r="AE101" s="141"/>
      <c r="AF101" s="141"/>
      <c r="AG101" s="141"/>
      <c r="AH101" s="141"/>
      <c r="AI101" s="141"/>
      <c r="AJ101" s="141"/>
      <c r="AK101" s="141"/>
      <c r="AL101" s="141"/>
      <c r="AM101" s="141"/>
      <c r="AN101" s="141"/>
      <c r="AO101" s="141"/>
      <c r="AP101" s="141"/>
      <c r="AQ101" s="141"/>
      <c r="AR101" s="141"/>
      <c r="AS101" s="141"/>
      <c r="AT101" s="141"/>
      <c r="AU101" s="141"/>
      <c r="AV101" s="141"/>
      <c r="AW101" s="141"/>
      <c r="AX101" s="141"/>
      <c r="AY101" s="141"/>
      <c r="AZ101" s="141"/>
      <c r="BA101" s="141"/>
      <c r="BB101" s="141"/>
      <c r="BC101" s="141"/>
      <c r="BD101" s="141"/>
      <c r="BE101" s="141"/>
      <c r="BF101" s="141"/>
      <c r="BG101" s="141"/>
      <c r="BH101" s="141"/>
      <c r="BI101" s="141"/>
      <c r="BJ101" s="141"/>
      <c r="BK101" s="141"/>
      <c r="BL101" s="141"/>
      <c r="BM101" s="141"/>
    </row>
    <row r="102" spans="1:65" ht="16.5" customHeight="1" outlineLevel="2" x14ac:dyDescent="0.2">
      <c r="A102" s="133"/>
      <c r="B102" s="215" t="str">
        <f>IF(OR(SUM(E99:E102)&gt;1,SUM(F99:F102)&gt;1),"somme &gt; 100%","")</f>
        <v/>
      </c>
      <c r="C102" s="208" t="s">
        <v>139</v>
      </c>
      <c r="D102" s="702"/>
      <c r="E102" s="210"/>
      <c r="F102" s="210"/>
      <c r="G102" s="211" t="str">
        <f>IF(C102="-","",G101)</f>
        <v/>
      </c>
      <c r="H102" s="212" t="str">
        <f>IF(E102="","",E102*VLOOKUP($C102,Données!$B$210:$G$217,3,FALSE())*E$26)</f>
        <v/>
      </c>
      <c r="I102" s="212" t="str">
        <f>IF(F102="","",F102*VLOOKUP($C102,Données!$B$210:$G$217,5,FALSE())*F$26)</f>
        <v/>
      </c>
      <c r="J102" s="212" t="b">
        <f>IF(J$98&gt;0,IF($E102="","",IF(J$98&gt;VLOOKUP($C102,Données!$B$210:$G$217,6,FALSE()),"",E102*F$26*VLOOKUP($C102,Données!$B$210:$G$217,3,FALSE())*(1-J$98/VLOOKUP($C102,Données!$B$210:$G$217,6,FALSE())))))</f>
        <v>0</v>
      </c>
      <c r="K102" s="214"/>
      <c r="L102" s="143"/>
      <c r="M102" s="143"/>
      <c r="N102" s="143"/>
      <c r="O102" s="143"/>
      <c r="P102" s="143"/>
      <c r="Q102" s="143"/>
      <c r="R102" s="143"/>
      <c r="S102" s="143"/>
      <c r="T102" s="143"/>
      <c r="U102" s="141"/>
      <c r="V102" s="141"/>
      <c r="W102" s="141"/>
      <c r="X102" s="141"/>
      <c r="Y102" s="141"/>
      <c r="Z102" s="141"/>
      <c r="AA102" s="141"/>
      <c r="AB102" s="141"/>
      <c r="AC102" s="141"/>
      <c r="AD102" s="141"/>
      <c r="AE102" s="141"/>
      <c r="AF102" s="141"/>
      <c r="AG102" s="141"/>
      <c r="AH102" s="141"/>
      <c r="AI102" s="141"/>
      <c r="AJ102" s="141"/>
      <c r="AK102" s="141"/>
      <c r="AL102" s="141"/>
      <c r="AM102" s="141"/>
      <c r="AN102" s="141"/>
      <c r="AO102" s="141"/>
      <c r="AP102" s="141"/>
      <c r="AQ102" s="141"/>
      <c r="AR102" s="141"/>
      <c r="AS102" s="141"/>
      <c r="AT102" s="141"/>
      <c r="AU102" s="141"/>
      <c r="AV102" s="141"/>
      <c r="AW102" s="141"/>
      <c r="AX102" s="141"/>
      <c r="AY102" s="141"/>
      <c r="AZ102" s="141"/>
      <c r="BA102" s="141"/>
      <c r="BB102" s="141"/>
      <c r="BC102" s="141"/>
      <c r="BD102" s="141"/>
      <c r="BE102" s="141"/>
      <c r="BF102" s="141"/>
      <c r="BG102" s="141"/>
      <c r="BH102" s="141"/>
      <c r="BI102" s="141"/>
      <c r="BJ102" s="141"/>
      <c r="BK102" s="141"/>
      <c r="BL102" s="141"/>
      <c r="BM102" s="141"/>
    </row>
    <row r="103" spans="1:65" ht="5.25" customHeight="1" outlineLevel="2" x14ac:dyDescent="0.2">
      <c r="A103" s="133"/>
      <c r="B103" s="204"/>
      <c r="C103" s="246"/>
      <c r="D103" s="246"/>
      <c r="E103" s="235"/>
      <c r="F103" s="235"/>
      <c r="G103" s="247"/>
      <c r="H103" s="234"/>
      <c r="I103" s="234"/>
      <c r="J103" s="235"/>
      <c r="K103" s="144"/>
      <c r="L103" s="141"/>
      <c r="M103" s="141"/>
      <c r="N103" s="141"/>
      <c r="O103" s="141"/>
      <c r="P103" s="141"/>
      <c r="Q103" s="141"/>
      <c r="R103" s="141"/>
      <c r="S103" s="141"/>
      <c r="T103" s="141"/>
      <c r="U103" s="141"/>
      <c r="V103" s="141"/>
      <c r="W103" s="141"/>
      <c r="X103" s="141"/>
      <c r="Y103" s="141"/>
      <c r="Z103" s="141"/>
      <c r="AA103" s="141"/>
      <c r="AB103" s="141"/>
      <c r="AC103" s="141"/>
      <c r="AD103" s="141"/>
      <c r="AE103" s="141"/>
      <c r="AF103" s="141"/>
      <c r="AG103" s="141"/>
      <c r="AH103" s="141"/>
      <c r="AI103" s="141"/>
      <c r="AJ103" s="141"/>
      <c r="AK103" s="141"/>
      <c r="AL103" s="141"/>
      <c r="AM103" s="141"/>
      <c r="AN103" s="141"/>
      <c r="AO103" s="141"/>
      <c r="AP103" s="141"/>
      <c r="AQ103" s="141"/>
      <c r="AR103" s="141"/>
      <c r="AS103" s="141"/>
      <c r="AT103" s="141"/>
      <c r="AU103" s="141"/>
      <c r="AV103" s="141"/>
      <c r="AW103" s="141"/>
      <c r="AX103" s="141"/>
      <c r="AY103" s="141"/>
      <c r="AZ103" s="141"/>
      <c r="BA103" s="141"/>
      <c r="BB103" s="141"/>
      <c r="BC103" s="141"/>
      <c r="BD103" s="141"/>
      <c r="BE103" s="141"/>
      <c r="BF103" s="141"/>
      <c r="BG103" s="141"/>
      <c r="BH103" s="141"/>
      <c r="BI103" s="141"/>
      <c r="BJ103" s="141"/>
      <c r="BK103" s="141"/>
      <c r="BL103" s="141"/>
      <c r="BM103" s="141"/>
    </row>
    <row r="104" spans="1:65" ht="16.5" customHeight="1" outlineLevel="2" x14ac:dyDescent="0.2">
      <c r="A104" s="133"/>
      <c r="B104" s="197" t="s">
        <v>194</v>
      </c>
      <c r="C104" s="208" t="s">
        <v>139</v>
      </c>
      <c r="D104" s="702"/>
      <c r="E104" s="210">
        <v>0</v>
      </c>
      <c r="F104" s="210">
        <v>0</v>
      </c>
      <c r="G104" s="211" t="s">
        <v>192</v>
      </c>
      <c r="H104" s="212">
        <f>E104*VLOOKUP($C104,Données!$B$218:$G$228,3,FALSE())*E$26</f>
        <v>0</v>
      </c>
      <c r="I104" s="212">
        <f>F104*VLOOKUP($C104,Données!$B$218:$G$228,5,FALSE())*F$26</f>
        <v>0</v>
      </c>
      <c r="J104" s="212" t="b">
        <f>IF(J$98&gt;0,IF(J$98&gt;VLOOKUP($C104,Données!$B$218:$G$228,6,FALSE()),"",F104*F$26*VLOOKUP($C104,Données!$B$218:$G$228,3,FALSE())*(1-J$98/VLOOKUP($C104,Données!$B$218:$G$228,6,FALSE()))))</f>
        <v>0</v>
      </c>
      <c r="K104" s="214"/>
      <c r="L104" s="143"/>
      <c r="M104" s="143"/>
      <c r="N104" s="143"/>
      <c r="O104" s="143"/>
      <c r="P104" s="143"/>
      <c r="Q104" s="143"/>
      <c r="R104" s="143"/>
      <c r="S104" s="143"/>
      <c r="T104" s="143"/>
      <c r="U104" s="141"/>
      <c r="V104" s="141"/>
      <c r="W104" s="141"/>
      <c r="X104" s="141"/>
      <c r="Y104" s="141"/>
      <c r="Z104" s="141"/>
      <c r="AA104" s="141"/>
      <c r="AB104" s="141"/>
      <c r="AC104" s="141"/>
      <c r="AD104" s="141"/>
      <c r="AE104" s="141"/>
      <c r="AF104" s="141"/>
      <c r="AG104" s="141"/>
      <c r="AH104" s="141"/>
      <c r="AI104" s="141"/>
      <c r="AJ104" s="141"/>
      <c r="AK104" s="141"/>
      <c r="AL104" s="141"/>
      <c r="AM104" s="141"/>
      <c r="AN104" s="141"/>
      <c r="AO104" s="141"/>
      <c r="AP104" s="141"/>
      <c r="AQ104" s="141"/>
      <c r="AR104" s="141"/>
      <c r="AS104" s="141"/>
      <c r="AT104" s="141"/>
      <c r="AU104" s="141"/>
      <c r="AV104" s="141"/>
      <c r="AW104" s="141"/>
      <c r="AX104" s="141"/>
      <c r="AY104" s="141"/>
      <c r="AZ104" s="141"/>
      <c r="BA104" s="141"/>
      <c r="BB104" s="141"/>
      <c r="BC104" s="141"/>
      <c r="BD104" s="141"/>
      <c r="BE104" s="141"/>
      <c r="BF104" s="141"/>
      <c r="BG104" s="141"/>
      <c r="BH104" s="141"/>
      <c r="BI104" s="141"/>
      <c r="BJ104" s="141"/>
      <c r="BK104" s="141"/>
      <c r="BL104" s="141"/>
      <c r="BM104" s="141"/>
    </row>
    <row r="105" spans="1:65" ht="16.5" customHeight="1" outlineLevel="2" x14ac:dyDescent="0.2">
      <c r="A105" s="133"/>
      <c r="B105" s="197"/>
      <c r="C105" s="208" t="s">
        <v>139</v>
      </c>
      <c r="D105" s="702"/>
      <c r="E105" s="210"/>
      <c r="F105" s="210"/>
      <c r="G105" s="211" t="str">
        <f>IF(C105="-","",G$104)</f>
        <v/>
      </c>
      <c r="H105" s="212" t="str">
        <f>IF(E105="","",E105*VLOOKUP($C105,Données!$B$218:$G$228,3,FALSE())*E$26)</f>
        <v/>
      </c>
      <c r="I105" s="212" t="str">
        <f>IF(F105="","",F105*VLOOKUP($C105,Données!$B$218:$G$228,5,FALSE())*F$26)</f>
        <v/>
      </c>
      <c r="J105" s="212" t="b">
        <f>IF(J$98&gt;0,IF($E105="","",IF(J$98&gt;VLOOKUP($C105,Données!$B$218:$G$228,6,FALSE()),"",E105*F$26*VLOOKUP($C105,Données!$B$218:$G$228,3,FALSE())*(1-J$98/VLOOKUP($C105,Données!$B$218:$G$228,6,FALSE())))))</f>
        <v>0</v>
      </c>
      <c r="K105" s="214"/>
      <c r="L105" s="143"/>
      <c r="M105" s="143"/>
      <c r="N105" s="143"/>
      <c r="O105" s="143"/>
      <c r="P105" s="143"/>
      <c r="Q105" s="143"/>
      <c r="R105" s="143"/>
      <c r="S105" s="143"/>
      <c r="T105" s="143"/>
      <c r="U105" s="141"/>
      <c r="V105" s="141"/>
      <c r="W105" s="141"/>
      <c r="X105" s="141"/>
      <c r="Y105" s="141"/>
      <c r="Z105" s="141"/>
      <c r="AA105" s="141"/>
      <c r="AB105" s="141"/>
      <c r="AC105" s="141"/>
      <c r="AD105" s="141"/>
      <c r="AE105" s="141"/>
      <c r="AF105" s="141"/>
      <c r="AG105" s="141"/>
      <c r="AH105" s="141"/>
      <c r="AI105" s="141"/>
      <c r="AJ105" s="141"/>
      <c r="AK105" s="141"/>
      <c r="AL105" s="141"/>
      <c r="AM105" s="141"/>
      <c r="AN105" s="141"/>
      <c r="AO105" s="141"/>
      <c r="AP105" s="141"/>
      <c r="AQ105" s="141"/>
      <c r="AR105" s="141"/>
      <c r="AS105" s="141"/>
      <c r="AT105" s="141"/>
      <c r="AU105" s="141"/>
      <c r="AV105" s="141"/>
      <c r="AW105" s="141"/>
      <c r="AX105" s="141"/>
      <c r="AY105" s="141"/>
      <c r="AZ105" s="141"/>
      <c r="BA105" s="141"/>
      <c r="BB105" s="141"/>
      <c r="BC105" s="141"/>
      <c r="BD105" s="141"/>
      <c r="BE105" s="141"/>
      <c r="BF105" s="141"/>
      <c r="BG105" s="141"/>
      <c r="BH105" s="141"/>
      <c r="BI105" s="141"/>
      <c r="BJ105" s="141"/>
      <c r="BK105" s="141"/>
      <c r="BL105" s="141"/>
      <c r="BM105" s="141"/>
    </row>
    <row r="106" spans="1:65" ht="16.5" customHeight="1" outlineLevel="2" x14ac:dyDescent="0.2">
      <c r="A106" s="133"/>
      <c r="B106" s="197"/>
      <c r="C106" s="208" t="s">
        <v>139</v>
      </c>
      <c r="D106" s="702"/>
      <c r="E106" s="210"/>
      <c r="F106" s="210"/>
      <c r="G106" s="211" t="str">
        <f>IF(C106="-","",G$104)</f>
        <v/>
      </c>
      <c r="H106" s="212" t="str">
        <f>IF(E106="","",E106*VLOOKUP($C106,Données!$B$218:$G$228,3,FALSE())*E$26)</f>
        <v/>
      </c>
      <c r="I106" s="212" t="str">
        <f>IF(F106="","",F106*VLOOKUP($C106,Données!$B$218:$G$228,5,FALSE())*F$26)</f>
        <v/>
      </c>
      <c r="J106" s="212" t="b">
        <f>IF(J$98&gt;0,IF($E106="","",IF(J$98&gt;VLOOKUP($C106,Données!$B$218:$G$228,6,FALSE()),"",E106*F$26*VLOOKUP($C106,Données!$B$218:$G$228,3,FALSE())*(1-J$98/VLOOKUP($C106,Données!$B$218:$G$228,6,FALSE())))))</f>
        <v>0</v>
      </c>
      <c r="K106" s="214"/>
      <c r="L106" s="143"/>
      <c r="M106" s="143"/>
      <c r="N106" s="143"/>
      <c r="O106" s="143"/>
      <c r="P106" s="143"/>
      <c r="Q106" s="143"/>
      <c r="R106" s="143"/>
      <c r="S106" s="143"/>
      <c r="T106" s="143"/>
      <c r="U106" s="141"/>
      <c r="V106" s="141"/>
      <c r="W106" s="141"/>
      <c r="X106" s="141"/>
      <c r="Y106" s="141"/>
      <c r="Z106" s="141"/>
      <c r="AA106" s="141"/>
      <c r="AB106" s="141"/>
      <c r="AC106" s="141"/>
      <c r="AD106" s="141"/>
      <c r="AE106" s="141"/>
      <c r="AF106" s="141"/>
      <c r="AG106" s="141"/>
      <c r="AH106" s="141"/>
      <c r="AI106" s="141"/>
      <c r="AJ106" s="141"/>
      <c r="AK106" s="141"/>
      <c r="AL106" s="141"/>
      <c r="AM106" s="141"/>
      <c r="AN106" s="141"/>
      <c r="AO106" s="141"/>
      <c r="AP106" s="141"/>
      <c r="AQ106" s="141"/>
      <c r="AR106" s="141"/>
      <c r="AS106" s="141"/>
      <c r="AT106" s="141"/>
      <c r="AU106" s="141"/>
      <c r="AV106" s="141"/>
      <c r="AW106" s="141"/>
      <c r="AX106" s="141"/>
      <c r="AY106" s="141"/>
      <c r="AZ106" s="141"/>
      <c r="BA106" s="141"/>
      <c r="BB106" s="141"/>
      <c r="BC106" s="141"/>
      <c r="BD106" s="141"/>
      <c r="BE106" s="141"/>
      <c r="BF106" s="141"/>
      <c r="BG106" s="141"/>
      <c r="BH106" s="141"/>
      <c r="BI106" s="141"/>
      <c r="BJ106" s="141"/>
      <c r="BK106" s="141"/>
      <c r="BL106" s="141"/>
      <c r="BM106" s="141"/>
    </row>
    <row r="107" spans="1:65" ht="16.5" customHeight="1" outlineLevel="2" x14ac:dyDescent="0.2">
      <c r="A107" s="133"/>
      <c r="B107" s="215" t="str">
        <f>IF(OR(SUM(E104:E107)&gt;1,SUM(F104:F107)&gt;1),"somme &gt; 100%","")</f>
        <v/>
      </c>
      <c r="C107" s="208" t="s">
        <v>139</v>
      </c>
      <c r="D107" s="702"/>
      <c r="E107" s="210"/>
      <c r="F107" s="210"/>
      <c r="G107" s="211" t="str">
        <f>IF(C107="-","",G$104)</f>
        <v/>
      </c>
      <c r="H107" s="212" t="str">
        <f>IF(E107="","",E107*VLOOKUP($C107,Données!$B$218:$G$228,3,FALSE())*E$26)</f>
        <v/>
      </c>
      <c r="I107" s="212" t="str">
        <f>IF(F107="","",F107*VLOOKUP($C107,Données!$B$218:$G$228,5,FALSE())*F$26)</f>
        <v/>
      </c>
      <c r="J107" s="212" t="b">
        <f>IF(J$98&gt;0,IF($E107="","",IF(J$98&gt;VLOOKUP($C107,Données!$B$218:$G$228,6,FALSE()),"",E107*F$26*VLOOKUP($C107,Données!$B$218:$G$228,3,FALSE())*(1-J$98/VLOOKUP($C107,Données!$B$218:$G$228,6,FALSE())))))</f>
        <v>0</v>
      </c>
      <c r="K107" s="214"/>
      <c r="L107" s="143"/>
      <c r="M107" s="143"/>
      <c r="N107" s="143"/>
      <c r="O107" s="143"/>
      <c r="P107" s="143"/>
      <c r="Q107" s="143"/>
      <c r="R107" s="143"/>
      <c r="S107" s="143"/>
      <c r="T107" s="143"/>
      <c r="U107" s="141"/>
      <c r="V107" s="141"/>
      <c r="W107" s="141"/>
      <c r="X107" s="141"/>
      <c r="Y107" s="141"/>
      <c r="Z107" s="141"/>
      <c r="AA107" s="141"/>
      <c r="AB107" s="141"/>
      <c r="AC107" s="141"/>
      <c r="AD107" s="141"/>
      <c r="AE107" s="141"/>
      <c r="AF107" s="141"/>
      <c r="AG107" s="141"/>
      <c r="AH107" s="141"/>
      <c r="AI107" s="141"/>
      <c r="AJ107" s="141"/>
      <c r="AK107" s="141"/>
      <c r="AL107" s="141"/>
      <c r="AM107" s="141"/>
      <c r="AN107" s="141"/>
      <c r="AO107" s="141"/>
      <c r="AP107" s="141"/>
      <c r="AQ107" s="141"/>
      <c r="AR107" s="141"/>
      <c r="AS107" s="141"/>
      <c r="AT107" s="141"/>
      <c r="AU107" s="141"/>
      <c r="AV107" s="141"/>
      <c r="AW107" s="141"/>
      <c r="AX107" s="141"/>
      <c r="AY107" s="141"/>
      <c r="AZ107" s="141"/>
      <c r="BA107" s="141"/>
      <c r="BB107" s="141"/>
      <c r="BC107" s="141"/>
      <c r="BD107" s="141"/>
      <c r="BE107" s="141"/>
      <c r="BF107" s="141"/>
      <c r="BG107" s="141"/>
      <c r="BH107" s="141"/>
      <c r="BI107" s="141"/>
      <c r="BJ107" s="141"/>
      <c r="BK107" s="141"/>
      <c r="BL107" s="141"/>
      <c r="BM107" s="141"/>
    </row>
    <row r="108" spans="1:65" ht="5.25" customHeight="1" outlineLevel="2" x14ac:dyDescent="0.2">
      <c r="A108" s="133"/>
      <c r="B108" s="204"/>
      <c r="C108" s="233"/>
      <c r="D108" s="205"/>
      <c r="E108" s="206"/>
      <c r="F108" s="206"/>
      <c r="G108" s="207"/>
      <c r="H108" s="234"/>
      <c r="I108" s="234"/>
      <c r="J108" s="235"/>
      <c r="K108" s="141"/>
      <c r="L108" s="141"/>
      <c r="M108" s="141"/>
      <c r="N108" s="14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1"/>
      <c r="Y108" s="141"/>
      <c r="Z108" s="141"/>
      <c r="AA108" s="141"/>
      <c r="AB108" s="141"/>
      <c r="AC108" s="141"/>
      <c r="AD108" s="141"/>
      <c r="AE108" s="141"/>
      <c r="AF108" s="141"/>
      <c r="AG108" s="141"/>
      <c r="AH108" s="141"/>
      <c r="AI108" s="141"/>
      <c r="AJ108" s="141"/>
      <c r="AK108" s="141"/>
      <c r="AL108" s="141"/>
      <c r="AM108" s="141"/>
      <c r="AN108" s="141"/>
      <c r="AO108" s="141"/>
      <c r="AP108" s="141"/>
      <c r="AQ108" s="141"/>
      <c r="AR108" s="141"/>
      <c r="AS108" s="141"/>
      <c r="AT108" s="141"/>
      <c r="AU108" s="141"/>
      <c r="AV108" s="141"/>
      <c r="AW108" s="141"/>
      <c r="AX108" s="141"/>
    </row>
    <row r="109" spans="1:65" ht="16.5" customHeight="1" outlineLevel="2" x14ac:dyDescent="0.2">
      <c r="A109" s="133"/>
      <c r="B109" s="252" t="s">
        <v>195</v>
      </c>
      <c r="C109" s="208" t="s">
        <v>139</v>
      </c>
      <c r="D109" s="702"/>
      <c r="E109" s="210">
        <v>0</v>
      </c>
      <c r="F109" s="210">
        <v>0</v>
      </c>
      <c r="G109" s="211" t="s">
        <v>192</v>
      </c>
      <c r="H109" s="212">
        <f>E109*VLOOKUP($C109,Données!$B$229:$G$232,3,FALSE())*E$26</f>
        <v>0</v>
      </c>
      <c r="I109" s="212">
        <f>F109*VLOOKUP($C109,Données!$B$229:$G$232,5,FALSE())*F$26</f>
        <v>0</v>
      </c>
      <c r="J109" s="212" t="b">
        <f>IF(J$98&gt;0,IF(J$98&gt;VLOOKUP($C109,Données!$B$229:$G$232,6,FALSE()),"",F109*F$26*VLOOKUP($C109,Données!$B$229:$G$232,3,FALSE())*(1-J$98/VLOOKUP($C109,Données!$B$229:$G$232,6,FALSE()))))</f>
        <v>0</v>
      </c>
      <c r="K109" s="253"/>
      <c r="L109" s="143"/>
      <c r="M109" s="143"/>
      <c r="N109" s="143"/>
      <c r="O109" s="143"/>
      <c r="P109" s="143"/>
      <c r="Q109" s="143"/>
      <c r="R109" s="143"/>
      <c r="S109" s="143"/>
      <c r="T109" s="143"/>
      <c r="U109" s="141"/>
      <c r="V109" s="141"/>
      <c r="W109" s="141"/>
      <c r="X109" s="141"/>
      <c r="Y109" s="141"/>
      <c r="Z109" s="141"/>
      <c r="AA109" s="141"/>
      <c r="AB109" s="141"/>
      <c r="AC109" s="141"/>
      <c r="AD109" s="141"/>
      <c r="AE109" s="141"/>
      <c r="AF109" s="141"/>
      <c r="AG109" s="141"/>
      <c r="AH109" s="141"/>
      <c r="AI109" s="141"/>
      <c r="AJ109" s="141"/>
      <c r="AK109" s="141"/>
      <c r="AL109" s="141"/>
      <c r="AM109" s="141"/>
      <c r="AN109" s="141"/>
      <c r="AO109" s="141"/>
      <c r="AP109" s="141"/>
      <c r="AQ109" s="141"/>
      <c r="AR109" s="141"/>
      <c r="AS109" s="141"/>
      <c r="AT109" s="141"/>
      <c r="AU109" s="141"/>
      <c r="AV109" s="141"/>
      <c r="AW109" s="141"/>
      <c r="AX109" s="141"/>
      <c r="AY109" s="141"/>
      <c r="AZ109" s="141"/>
      <c r="BA109" s="141"/>
      <c r="BB109" s="141"/>
      <c r="BC109" s="141"/>
      <c r="BD109" s="141"/>
      <c r="BE109" s="141"/>
      <c r="BF109" s="141"/>
      <c r="BG109" s="141"/>
      <c r="BH109" s="141"/>
      <c r="BI109" s="141"/>
      <c r="BJ109" s="141"/>
      <c r="BK109" s="141"/>
      <c r="BL109" s="141"/>
      <c r="BM109" s="141"/>
    </row>
    <row r="110" spans="1:65" ht="16.5" customHeight="1" outlineLevel="2" x14ac:dyDescent="0.2">
      <c r="A110" s="133"/>
      <c r="B110" s="215" t="str">
        <f>IF(OR(SUM(E109:E110)&gt;1,SUM(F109:F110)&gt;1),"somme &gt; 100%","")</f>
        <v/>
      </c>
      <c r="C110" s="208" t="s">
        <v>139</v>
      </c>
      <c r="D110" s="702"/>
      <c r="E110" s="210"/>
      <c r="F110" s="210"/>
      <c r="G110" s="211" t="str">
        <f>IF(C110="-","",G109)</f>
        <v/>
      </c>
      <c r="H110" s="212" t="str">
        <f>IF(E110="","",E110*VLOOKUP($C110,#REF!,3,FALSE())*E$26)</f>
        <v/>
      </c>
      <c r="I110" s="212" t="str">
        <f>IF(F110="","",F110*VLOOKUP($C110,#REF!,5,FALSE())*F$26)</f>
        <v/>
      </c>
      <c r="J110" s="212" t="b">
        <f>IF(J$129&gt;0,IF($E110="","",IF(J$129&gt;VLOOKUP($C110,#REF!,6,FALSE()),"",E110*F$26*VLOOKUP($C110,#REF!,3,FALSE())*(1-J$129/VLOOKUP($C110,#REF!,6,FALSE())))))</f>
        <v>0</v>
      </c>
      <c r="K110" s="253"/>
      <c r="L110" s="143"/>
      <c r="M110" s="143"/>
      <c r="N110" s="143"/>
      <c r="O110" s="143"/>
      <c r="P110" s="143"/>
      <c r="Q110" s="143"/>
      <c r="R110" s="143"/>
      <c r="S110" s="143"/>
      <c r="T110" s="143"/>
      <c r="U110" s="141"/>
      <c r="V110" s="141"/>
      <c r="W110" s="141"/>
      <c r="X110" s="141"/>
      <c r="Y110" s="141"/>
      <c r="Z110" s="141"/>
      <c r="AA110" s="141"/>
      <c r="AB110" s="141"/>
      <c r="AC110" s="141"/>
      <c r="AD110" s="141"/>
      <c r="AE110" s="141"/>
      <c r="AF110" s="141"/>
      <c r="AG110" s="141"/>
      <c r="AH110" s="141"/>
      <c r="AI110" s="141"/>
      <c r="AJ110" s="141"/>
      <c r="AK110" s="141"/>
      <c r="AL110" s="141"/>
      <c r="AM110" s="141"/>
      <c r="AN110" s="141"/>
      <c r="AO110" s="141"/>
      <c r="AP110" s="141"/>
      <c r="AQ110" s="141"/>
      <c r="AR110" s="141"/>
      <c r="AS110" s="141"/>
      <c r="AT110" s="141"/>
      <c r="AU110" s="141"/>
      <c r="AV110" s="141"/>
      <c r="AW110" s="141"/>
      <c r="AX110" s="141"/>
      <c r="AY110" s="141"/>
      <c r="AZ110" s="141"/>
      <c r="BA110" s="141"/>
      <c r="BB110" s="141"/>
      <c r="BC110" s="141"/>
      <c r="BD110" s="141"/>
      <c r="BE110" s="141"/>
      <c r="BF110" s="141"/>
      <c r="BG110" s="141"/>
      <c r="BH110" s="141"/>
      <c r="BI110" s="141"/>
      <c r="BJ110" s="141"/>
      <c r="BK110" s="141"/>
      <c r="BL110" s="141"/>
      <c r="BM110" s="141"/>
    </row>
    <row r="111" spans="1:65" ht="5.25" customHeight="1" outlineLevel="2" x14ac:dyDescent="0.2">
      <c r="A111" s="133"/>
      <c r="B111" s="204"/>
      <c r="C111" s="246"/>
      <c r="D111" s="246"/>
      <c r="E111" s="235"/>
      <c r="F111" s="235"/>
      <c r="G111" s="247"/>
      <c r="H111" s="235"/>
      <c r="I111" s="235"/>
      <c r="J111" s="235"/>
      <c r="K111" s="179"/>
      <c r="L111" s="141"/>
      <c r="M111" s="141"/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41"/>
      <c r="AA111" s="141"/>
      <c r="AB111" s="141"/>
      <c r="AC111" s="141"/>
      <c r="AD111" s="141"/>
      <c r="AE111" s="141"/>
      <c r="AF111" s="141"/>
      <c r="AG111" s="141"/>
      <c r="AH111" s="141"/>
      <c r="AI111" s="141"/>
      <c r="AJ111" s="141"/>
      <c r="AK111" s="141"/>
      <c r="AL111" s="141"/>
      <c r="AM111" s="141"/>
      <c r="AN111" s="141"/>
      <c r="AO111" s="141"/>
      <c r="AP111" s="141"/>
      <c r="AQ111" s="141"/>
      <c r="AR111" s="141"/>
      <c r="AS111" s="141"/>
      <c r="AT111" s="141"/>
      <c r="AU111" s="141"/>
      <c r="AV111" s="141"/>
      <c r="AW111" s="141"/>
      <c r="AX111" s="141"/>
      <c r="AY111" s="141"/>
      <c r="AZ111" s="141"/>
      <c r="BA111" s="141"/>
      <c r="BB111" s="141"/>
      <c r="BC111" s="141"/>
      <c r="BD111" s="141"/>
      <c r="BE111" s="141"/>
      <c r="BF111" s="141"/>
      <c r="BG111" s="141"/>
      <c r="BH111" s="141"/>
      <c r="BI111" s="141"/>
      <c r="BJ111" s="141"/>
      <c r="BK111" s="141"/>
      <c r="BL111" s="141"/>
      <c r="BM111" s="141"/>
    </row>
    <row r="112" spans="1:65" ht="16.5" customHeight="1" outlineLevel="2" x14ac:dyDescent="0.2">
      <c r="A112" s="133"/>
      <c r="B112" s="197" t="s">
        <v>196</v>
      </c>
      <c r="C112" s="209" t="s">
        <v>197</v>
      </c>
      <c r="D112" s="209"/>
      <c r="E112" s="1">
        <v>0</v>
      </c>
      <c r="F112" s="1">
        <v>0</v>
      </c>
      <c r="G112" s="707" t="s">
        <v>198</v>
      </c>
      <c r="H112" s="212">
        <f>E112*Données!$D235</f>
        <v>0</v>
      </c>
      <c r="I112" s="212">
        <f>F112*Données!$F235</f>
        <v>0</v>
      </c>
      <c r="J112" s="212" t="b">
        <f>IF(J$98&gt;0,IF(J$98&gt;Données!G235,"",F112*Données!D235*(1-J$98/Données!G235)))</f>
        <v>0</v>
      </c>
      <c r="K112" s="232"/>
      <c r="L112" s="143"/>
      <c r="M112" s="143"/>
      <c r="N112" s="143"/>
      <c r="O112" s="143"/>
      <c r="P112" s="143"/>
      <c r="Q112" s="143"/>
      <c r="R112" s="143"/>
      <c r="S112" s="143"/>
      <c r="T112" s="143"/>
      <c r="U112" s="141"/>
      <c r="V112" s="141"/>
      <c r="W112" s="141"/>
      <c r="X112" s="141"/>
      <c r="Y112" s="141"/>
      <c r="Z112" s="141"/>
      <c r="AA112" s="141"/>
      <c r="AB112" s="141"/>
      <c r="AC112" s="141"/>
      <c r="AD112" s="141"/>
      <c r="AE112" s="141"/>
      <c r="AF112" s="141"/>
      <c r="AG112" s="141"/>
      <c r="AH112" s="141"/>
      <c r="AI112" s="141"/>
      <c r="AJ112" s="141"/>
      <c r="AK112" s="141"/>
      <c r="AL112" s="141"/>
      <c r="AM112" s="141"/>
      <c r="AN112" s="141"/>
      <c r="AO112" s="141"/>
      <c r="AP112" s="141"/>
      <c r="AQ112" s="141"/>
      <c r="AR112" s="141"/>
      <c r="AS112" s="141"/>
      <c r="AT112" s="141"/>
      <c r="AU112" s="141"/>
      <c r="AV112" s="141"/>
      <c r="AW112" s="141"/>
      <c r="AX112" s="141"/>
      <c r="AY112" s="141"/>
      <c r="AZ112" s="141"/>
      <c r="BA112" s="141"/>
      <c r="BB112" s="141"/>
      <c r="BC112" s="141"/>
      <c r="BD112" s="141"/>
      <c r="BE112" s="141"/>
      <c r="BF112" s="141"/>
      <c r="BG112" s="141"/>
      <c r="BH112" s="141"/>
      <c r="BI112" s="141"/>
      <c r="BJ112" s="141"/>
      <c r="BK112" s="141"/>
      <c r="BL112" s="141"/>
      <c r="BM112" s="141"/>
    </row>
    <row r="113" spans="1:65" ht="16.5" customHeight="1" outlineLevel="2" x14ac:dyDescent="0.2">
      <c r="A113" s="133"/>
      <c r="B113" s="197"/>
      <c r="C113" s="209" t="s">
        <v>199</v>
      </c>
      <c r="D113" s="209"/>
      <c r="E113" s="1">
        <v>0</v>
      </c>
      <c r="F113" s="1">
        <v>0</v>
      </c>
      <c r="G113" s="707"/>
      <c r="H113" s="212">
        <f>E113*Données!$D236</f>
        <v>0</v>
      </c>
      <c r="I113" s="212">
        <f>F113*Données!$F236</f>
        <v>0</v>
      </c>
      <c r="J113" s="212" t="b">
        <f>IF(J$98&gt;0,IF(J$98&gt;Données!G236,"",F113*Données!D236*(1-J$98/Données!G236)))</f>
        <v>0</v>
      </c>
      <c r="K113" s="232"/>
      <c r="L113" s="143"/>
      <c r="M113" s="143"/>
      <c r="N113" s="143"/>
      <c r="O113" s="143"/>
      <c r="P113" s="143"/>
      <c r="Q113" s="143"/>
      <c r="R113" s="143"/>
      <c r="S113" s="143"/>
      <c r="T113" s="143"/>
      <c r="U113" s="141"/>
      <c r="V113" s="141"/>
      <c r="W113" s="141"/>
      <c r="X113" s="141"/>
      <c r="Y113" s="141"/>
      <c r="Z113" s="141"/>
      <c r="AA113" s="141"/>
      <c r="AB113" s="141"/>
      <c r="AC113" s="141"/>
      <c r="AD113" s="141"/>
      <c r="AE113" s="141"/>
      <c r="AF113" s="141"/>
      <c r="AG113" s="141"/>
      <c r="AH113" s="141"/>
      <c r="AI113" s="141"/>
      <c r="AJ113" s="141"/>
      <c r="AK113" s="141"/>
      <c r="AL113" s="141"/>
      <c r="AM113" s="141"/>
      <c r="AN113" s="141"/>
      <c r="AO113" s="141"/>
      <c r="AP113" s="141"/>
      <c r="AQ113" s="141"/>
      <c r="AR113" s="141"/>
      <c r="AS113" s="141"/>
      <c r="AT113" s="141"/>
      <c r="AU113" s="141"/>
      <c r="AV113" s="141"/>
      <c r="AW113" s="141"/>
      <c r="AX113" s="141"/>
      <c r="AY113" s="141"/>
      <c r="AZ113" s="141"/>
      <c r="BA113" s="141"/>
      <c r="BB113" s="141"/>
      <c r="BC113" s="141"/>
      <c r="BD113" s="141"/>
      <c r="BE113" s="141"/>
      <c r="BF113" s="141"/>
      <c r="BG113" s="141"/>
      <c r="BH113" s="141"/>
      <c r="BI113" s="141"/>
      <c r="BJ113" s="141"/>
      <c r="BK113" s="141"/>
      <c r="BL113" s="141"/>
      <c r="BM113" s="141"/>
    </row>
    <row r="114" spans="1:65" ht="16.5" customHeight="1" outlineLevel="2" x14ac:dyDescent="0.2">
      <c r="A114" s="133"/>
      <c r="B114" s="197"/>
      <c r="C114" s="209" t="s">
        <v>200</v>
      </c>
      <c r="D114" s="209"/>
      <c r="E114" s="1">
        <v>0</v>
      </c>
      <c r="F114" s="1">
        <v>0</v>
      </c>
      <c r="G114" s="707"/>
      <c r="H114" s="212">
        <f>E114*Données!$D237</f>
        <v>0</v>
      </c>
      <c r="I114" s="212">
        <f>F114*Données!$F237</f>
        <v>0</v>
      </c>
      <c r="J114" s="212" t="b">
        <f>IF(J$98&gt;0,IF(J$98&gt;Données!G237,"",F114*Données!D237*(1-J$98/Données!G237)))</f>
        <v>0</v>
      </c>
      <c r="K114" s="232"/>
      <c r="L114" s="143"/>
      <c r="M114" s="143"/>
      <c r="N114" s="143"/>
      <c r="O114" s="143"/>
      <c r="P114" s="143"/>
      <c r="Q114" s="143"/>
      <c r="R114" s="143"/>
      <c r="S114" s="143"/>
      <c r="T114" s="143"/>
      <c r="U114" s="141"/>
      <c r="V114" s="141"/>
      <c r="W114" s="141"/>
      <c r="X114" s="141"/>
      <c r="Y114" s="141"/>
      <c r="Z114" s="141"/>
      <c r="AA114" s="141"/>
      <c r="AB114" s="141"/>
      <c r="AC114" s="141"/>
      <c r="AD114" s="141"/>
      <c r="AE114" s="141"/>
      <c r="AF114" s="141"/>
      <c r="AG114" s="141"/>
      <c r="AH114" s="141"/>
      <c r="AI114" s="141"/>
      <c r="AJ114" s="141"/>
      <c r="AK114" s="141"/>
      <c r="AL114" s="141"/>
      <c r="AM114" s="141"/>
      <c r="AN114" s="141"/>
      <c r="AO114" s="141"/>
      <c r="AP114" s="141"/>
      <c r="AQ114" s="141"/>
      <c r="AR114" s="141"/>
      <c r="AS114" s="141"/>
      <c r="AT114" s="141"/>
      <c r="AU114" s="141"/>
      <c r="AV114" s="141"/>
      <c r="AW114" s="141"/>
      <c r="AX114" s="141"/>
      <c r="AY114" s="141"/>
      <c r="AZ114" s="141"/>
      <c r="BA114" s="141"/>
      <c r="BB114" s="141"/>
      <c r="BC114" s="141"/>
      <c r="BD114" s="141"/>
      <c r="BE114" s="141"/>
      <c r="BF114" s="141"/>
      <c r="BG114" s="141"/>
      <c r="BH114" s="141"/>
      <c r="BI114" s="141"/>
      <c r="BJ114" s="141"/>
      <c r="BK114" s="141"/>
      <c r="BL114" s="141"/>
      <c r="BM114" s="141"/>
    </row>
    <row r="115" spans="1:65" ht="16.5" customHeight="1" outlineLevel="2" x14ac:dyDescent="0.2">
      <c r="A115" s="133"/>
      <c r="B115" s="197"/>
      <c r="C115" s="209" t="s">
        <v>201</v>
      </c>
      <c r="D115" s="209"/>
      <c r="E115" s="1">
        <v>0</v>
      </c>
      <c r="F115" s="1">
        <v>0</v>
      </c>
      <c r="G115" s="707"/>
      <c r="H115" s="212">
        <f>E115*Données!$D238</f>
        <v>0</v>
      </c>
      <c r="I115" s="212">
        <f>F115*Données!$F238</f>
        <v>0</v>
      </c>
      <c r="J115" s="212" t="b">
        <f>IF(J$98&gt;0,IF(J$98&gt;Données!G238,"",F115*Données!D238*(1-J$98/Données!G238)))</f>
        <v>0</v>
      </c>
      <c r="K115" s="232"/>
      <c r="L115" s="143"/>
      <c r="M115" s="143"/>
      <c r="N115" s="143"/>
      <c r="O115" s="143"/>
      <c r="P115" s="143"/>
      <c r="Q115" s="143"/>
      <c r="R115" s="143"/>
      <c r="S115" s="143"/>
      <c r="T115" s="143"/>
      <c r="U115" s="141"/>
      <c r="V115" s="141"/>
      <c r="W115" s="141"/>
      <c r="X115" s="141"/>
      <c r="Y115" s="141"/>
      <c r="Z115" s="141"/>
      <c r="AA115" s="141"/>
      <c r="AB115" s="141"/>
      <c r="AC115" s="141"/>
      <c r="AD115" s="141"/>
      <c r="AE115" s="141"/>
      <c r="AF115" s="141"/>
      <c r="AG115" s="141"/>
      <c r="AH115" s="141"/>
      <c r="AI115" s="141"/>
      <c r="AJ115" s="141"/>
      <c r="AK115" s="141"/>
      <c r="AL115" s="141"/>
      <c r="AM115" s="141"/>
      <c r="AN115" s="141"/>
      <c r="AO115" s="141"/>
      <c r="AP115" s="141"/>
      <c r="AQ115" s="141"/>
      <c r="AR115" s="141"/>
      <c r="AS115" s="141"/>
      <c r="AT115" s="141"/>
      <c r="AU115" s="141"/>
      <c r="AV115" s="141"/>
      <c r="AW115" s="141"/>
      <c r="AX115" s="141"/>
      <c r="AY115" s="141"/>
      <c r="AZ115" s="141"/>
      <c r="BA115" s="141"/>
      <c r="BB115" s="141"/>
      <c r="BC115" s="141"/>
      <c r="BD115" s="141"/>
      <c r="BE115" s="141"/>
      <c r="BF115" s="141"/>
      <c r="BG115" s="141"/>
      <c r="BH115" s="141"/>
      <c r="BI115" s="141"/>
      <c r="BJ115" s="141"/>
      <c r="BK115" s="141"/>
      <c r="BL115" s="141"/>
      <c r="BM115" s="141"/>
    </row>
    <row r="116" spans="1:65" ht="5.25" customHeight="1" outlineLevel="2" x14ac:dyDescent="0.2">
      <c r="A116" s="133"/>
      <c r="B116" s="204"/>
      <c r="C116" s="246"/>
      <c r="D116" s="246"/>
      <c r="E116" s="235"/>
      <c r="F116" s="235"/>
      <c r="G116" s="247"/>
      <c r="H116" s="234"/>
      <c r="I116" s="234"/>
      <c r="J116" s="235"/>
      <c r="K116" s="144"/>
      <c r="L116" s="141"/>
      <c r="M116" s="141"/>
      <c r="N116" s="14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41"/>
      <c r="AA116" s="141"/>
      <c r="AB116" s="141"/>
      <c r="AC116" s="141"/>
      <c r="AD116" s="141"/>
      <c r="AE116" s="141"/>
      <c r="AF116" s="141"/>
      <c r="AG116" s="141"/>
      <c r="AH116" s="141"/>
      <c r="AI116" s="141"/>
      <c r="AJ116" s="141"/>
      <c r="AK116" s="141"/>
      <c r="AL116" s="141"/>
      <c r="AM116" s="141"/>
      <c r="AN116" s="141"/>
      <c r="AO116" s="141"/>
      <c r="AP116" s="141"/>
      <c r="AQ116" s="141"/>
      <c r="AR116" s="141"/>
      <c r="AS116" s="141"/>
      <c r="AT116" s="141"/>
      <c r="AU116" s="141"/>
      <c r="AV116" s="141"/>
      <c r="AW116" s="141"/>
      <c r="AX116" s="141"/>
      <c r="AY116" s="141"/>
      <c r="AZ116" s="141"/>
      <c r="BA116" s="141"/>
      <c r="BB116" s="141"/>
      <c r="BC116" s="141"/>
      <c r="BD116" s="141"/>
      <c r="BE116" s="141"/>
      <c r="BF116" s="141"/>
      <c r="BG116" s="141"/>
      <c r="BH116" s="141"/>
      <c r="BI116" s="141"/>
      <c r="BJ116" s="141"/>
      <c r="BK116" s="141"/>
      <c r="BL116" s="141"/>
      <c r="BM116" s="141"/>
    </row>
    <row r="117" spans="1:65" ht="16.5" customHeight="1" outlineLevel="2" x14ac:dyDescent="0.2">
      <c r="A117" s="133"/>
      <c r="B117" s="197" t="s">
        <v>202</v>
      </c>
      <c r="C117" s="208" t="s">
        <v>139</v>
      </c>
      <c r="D117" s="702"/>
      <c r="E117" s="210">
        <v>0</v>
      </c>
      <c r="F117" s="210">
        <v>0</v>
      </c>
      <c r="G117" s="211" t="s">
        <v>203</v>
      </c>
      <c r="H117" s="212">
        <f>E117*VLOOKUP($C117,Données!$B$239:$G$244,3,FALSE())*E$28</f>
        <v>0</v>
      </c>
      <c r="I117" s="212">
        <f>F117*VLOOKUP($C117,Données!$B$239:$G$244,5,FALSE())*F$28</f>
        <v>0</v>
      </c>
      <c r="J117" s="212" t="b">
        <f>IF(J$98&gt;0,IF(J$98&gt;VLOOKUP($C117,Données!$B$239:$G$244,6,FALSE()),"",F117*F$28*VLOOKUP($C117,Données!$B$239:$G$244,3,FALSE())*(1-J$98/VLOOKUP($C117,Données!$B$239:$G$244,6,FALSE()))))</f>
        <v>0</v>
      </c>
      <c r="K117" s="214"/>
      <c r="L117" s="143"/>
      <c r="M117" s="143"/>
      <c r="N117" s="143"/>
      <c r="O117" s="143"/>
      <c r="P117" s="143"/>
      <c r="Q117" s="143"/>
      <c r="R117" s="143"/>
      <c r="S117" s="143"/>
      <c r="T117" s="143"/>
      <c r="U117" s="141"/>
      <c r="V117" s="141"/>
      <c r="W117" s="141"/>
      <c r="X117" s="141"/>
      <c r="Y117" s="141"/>
      <c r="Z117" s="141"/>
      <c r="AA117" s="141"/>
      <c r="AB117" s="141"/>
      <c r="AC117" s="141"/>
      <c r="AD117" s="141"/>
      <c r="AE117" s="141"/>
      <c r="AF117" s="141"/>
      <c r="AG117" s="141"/>
      <c r="AH117" s="141"/>
      <c r="AI117" s="141"/>
      <c r="AJ117" s="141"/>
      <c r="AK117" s="141"/>
      <c r="AL117" s="141"/>
      <c r="AM117" s="141"/>
      <c r="AN117" s="141"/>
      <c r="AO117" s="141"/>
      <c r="AP117" s="141"/>
      <c r="AQ117" s="141"/>
      <c r="AR117" s="141"/>
      <c r="AS117" s="141"/>
      <c r="AT117" s="141"/>
      <c r="AU117" s="141"/>
      <c r="AV117" s="141"/>
      <c r="AW117" s="141"/>
      <c r="AX117" s="141"/>
      <c r="AY117" s="141"/>
      <c r="AZ117" s="141"/>
      <c r="BA117" s="141"/>
      <c r="BB117" s="141"/>
      <c r="BC117" s="141"/>
      <c r="BD117" s="141"/>
      <c r="BE117" s="141"/>
      <c r="BF117" s="141"/>
      <c r="BG117" s="141"/>
      <c r="BH117" s="141"/>
      <c r="BI117" s="141"/>
      <c r="BJ117" s="141"/>
      <c r="BK117" s="141"/>
      <c r="BL117" s="141"/>
      <c r="BM117" s="141"/>
    </row>
    <row r="118" spans="1:65" ht="16.5" customHeight="1" outlineLevel="2" x14ac:dyDescent="0.2">
      <c r="A118" s="133"/>
      <c r="B118" s="215" t="str">
        <f>IF(OR(SUM(E117:E118)&gt;1,SUM(F117:F118)&gt;1),"somme &gt; 100%","")</f>
        <v/>
      </c>
      <c r="C118" s="208" t="s">
        <v>139</v>
      </c>
      <c r="D118" s="702"/>
      <c r="E118" s="210"/>
      <c r="F118" s="210"/>
      <c r="G118" s="211" t="str">
        <f>IF(C118="-","",G117)</f>
        <v/>
      </c>
      <c r="H118" s="212" t="str">
        <f>IF(E118="","",E118*VLOOKUP($C118,Données!$B$239:$G$244,3,FALSE())*E$28)</f>
        <v/>
      </c>
      <c r="I118" s="212" t="str">
        <f>IF(F118="","",F118*VLOOKUP($C118,Données!$B$239:$G$244,5,FALSE())*F$28)</f>
        <v/>
      </c>
      <c r="J118" s="212" t="b">
        <f>IF(J$98&gt;0,IF($E118="","",IF(J$98&gt;VLOOKUP($C118,Données!$B$239:$G$244,6,FALSE()),"",E118*F$28*VLOOKUP($C118,Données!$B$239:$G$244,3,FALSE())*(1-J$98/VLOOKUP($C118,Données!$B$239:$G$244,6,FALSE())))))</f>
        <v>0</v>
      </c>
      <c r="K118" s="214"/>
      <c r="L118" s="143"/>
      <c r="M118" s="143"/>
      <c r="N118" s="143"/>
      <c r="O118" s="143"/>
      <c r="P118" s="143"/>
      <c r="Q118" s="143"/>
      <c r="R118" s="143"/>
      <c r="S118" s="143"/>
      <c r="T118" s="143"/>
      <c r="U118" s="141"/>
      <c r="V118" s="141"/>
      <c r="W118" s="141"/>
      <c r="X118" s="141"/>
      <c r="Y118" s="141"/>
      <c r="Z118" s="141"/>
      <c r="AA118" s="141"/>
      <c r="AB118" s="141"/>
      <c r="AC118" s="141"/>
      <c r="AD118" s="141"/>
      <c r="AE118" s="141"/>
      <c r="AF118" s="141"/>
      <c r="AG118" s="141"/>
      <c r="AH118" s="141"/>
      <c r="AI118" s="141"/>
      <c r="AJ118" s="141"/>
      <c r="AK118" s="141"/>
      <c r="AL118" s="141"/>
      <c r="AM118" s="141"/>
      <c r="AN118" s="141"/>
      <c r="AO118" s="141"/>
      <c r="AP118" s="141"/>
      <c r="AQ118" s="141"/>
      <c r="AR118" s="141"/>
      <c r="AS118" s="141"/>
      <c r="AT118" s="141"/>
      <c r="AU118" s="141"/>
      <c r="AV118" s="141"/>
      <c r="AW118" s="141"/>
      <c r="AX118" s="141"/>
      <c r="AY118" s="141"/>
      <c r="AZ118" s="141"/>
      <c r="BA118" s="141"/>
      <c r="BB118" s="141"/>
      <c r="BC118" s="141"/>
      <c r="BD118" s="141"/>
      <c r="BE118" s="141"/>
      <c r="BF118" s="141"/>
      <c r="BG118" s="141"/>
      <c r="BH118" s="141"/>
      <c r="BI118" s="141"/>
      <c r="BJ118" s="141"/>
      <c r="BK118" s="141"/>
      <c r="BL118" s="141"/>
      <c r="BM118" s="141"/>
    </row>
    <row r="119" spans="1:65" ht="5.25" customHeight="1" outlineLevel="2" x14ac:dyDescent="0.2">
      <c r="A119" s="133"/>
      <c r="B119" s="204"/>
      <c r="C119" s="205"/>
      <c r="D119" s="205"/>
      <c r="E119" s="206"/>
      <c r="F119" s="206"/>
      <c r="G119" s="207"/>
      <c r="H119" s="229"/>
      <c r="I119" s="229"/>
      <c r="J119" s="206"/>
      <c r="K119" s="164"/>
      <c r="L119" s="141"/>
      <c r="M119" s="141"/>
      <c r="N119" s="14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41"/>
      <c r="AA119" s="141"/>
      <c r="AB119" s="141"/>
      <c r="AC119" s="141"/>
      <c r="AD119" s="141"/>
      <c r="AE119" s="141"/>
      <c r="AF119" s="141"/>
      <c r="AG119" s="141"/>
      <c r="AH119" s="141"/>
      <c r="AI119" s="141"/>
      <c r="AJ119" s="141"/>
      <c r="AK119" s="141"/>
      <c r="AL119" s="141"/>
      <c r="AM119" s="141"/>
      <c r="AN119" s="141"/>
      <c r="AO119" s="141"/>
      <c r="AP119" s="141"/>
      <c r="AQ119" s="141"/>
      <c r="AR119" s="141"/>
      <c r="AS119" s="141"/>
      <c r="AT119" s="141"/>
      <c r="AU119" s="141"/>
      <c r="AV119" s="141"/>
      <c r="AW119" s="141"/>
      <c r="AX119" s="141"/>
      <c r="AY119" s="141"/>
      <c r="AZ119" s="141"/>
      <c r="BA119" s="141"/>
      <c r="BB119" s="141"/>
      <c r="BC119" s="141"/>
      <c r="BD119" s="141"/>
      <c r="BE119" s="141"/>
      <c r="BF119" s="141"/>
      <c r="BG119" s="141"/>
      <c r="BH119" s="141"/>
      <c r="BI119" s="141"/>
      <c r="BJ119" s="141"/>
      <c r="BK119" s="141"/>
      <c r="BL119" s="141"/>
      <c r="BM119" s="141"/>
    </row>
    <row r="120" spans="1:65" ht="16.5" customHeight="1" outlineLevel="2" x14ac:dyDescent="0.2">
      <c r="A120" s="133"/>
      <c r="B120" s="197" t="s">
        <v>204</v>
      </c>
      <c r="C120" s="208" t="s">
        <v>139</v>
      </c>
      <c r="D120" s="702"/>
      <c r="E120" s="210">
        <v>0</v>
      </c>
      <c r="F120" s="210">
        <v>0</v>
      </c>
      <c r="G120" s="211" t="s">
        <v>203</v>
      </c>
      <c r="H120" s="212">
        <f>E120*VLOOKUP($C120,Données!$B$245:$G249,3,FALSE())*E$28</f>
        <v>0</v>
      </c>
      <c r="I120" s="212">
        <f>F120*VLOOKUP($C120,Données!$B$245:$G249,5,FALSE())*F$28</f>
        <v>0</v>
      </c>
      <c r="J120" s="212" t="b">
        <f>IF(J$98&gt;0,IF(J$98&gt;VLOOKUP($C120,Données!$B$245:$G$249,6,FALSE()),"",F120*F$28*VLOOKUP($C120,Données!$B$245:$G$249,3,FALSE())*(1-J$98/VLOOKUP($C120,Données!$B$245:$G$249,6,FALSE()))))</f>
        <v>0</v>
      </c>
      <c r="K120" s="214"/>
      <c r="L120" s="143"/>
      <c r="M120" s="143"/>
      <c r="N120" s="143"/>
      <c r="O120" s="143"/>
      <c r="P120" s="143"/>
      <c r="Q120" s="143"/>
      <c r="R120" s="143"/>
      <c r="S120" s="143"/>
      <c r="T120" s="143"/>
      <c r="U120" s="141"/>
      <c r="V120" s="141"/>
      <c r="W120" s="141"/>
      <c r="X120" s="141"/>
      <c r="Y120" s="141"/>
      <c r="Z120" s="141"/>
      <c r="AA120" s="141"/>
      <c r="AB120" s="141"/>
      <c r="AC120" s="141"/>
      <c r="AD120" s="141"/>
      <c r="AE120" s="141"/>
      <c r="AF120" s="141"/>
      <c r="AG120" s="141"/>
      <c r="AH120" s="141"/>
      <c r="AI120" s="141"/>
      <c r="AJ120" s="141"/>
      <c r="AK120" s="141"/>
      <c r="AL120" s="141"/>
      <c r="AM120" s="141"/>
      <c r="AN120" s="141"/>
      <c r="AO120" s="141"/>
      <c r="AP120" s="141"/>
      <c r="AQ120" s="141"/>
      <c r="AR120" s="141"/>
      <c r="AS120" s="141"/>
      <c r="AT120" s="141"/>
      <c r="AU120" s="141"/>
      <c r="AV120" s="141"/>
      <c r="AW120" s="141"/>
      <c r="AX120" s="141"/>
      <c r="AY120" s="141"/>
      <c r="AZ120" s="141"/>
      <c r="BA120" s="141"/>
      <c r="BB120" s="141"/>
      <c r="BC120" s="141"/>
      <c r="BD120" s="141"/>
      <c r="BE120" s="141"/>
      <c r="BF120" s="141"/>
      <c r="BG120" s="141"/>
      <c r="BH120" s="141"/>
      <c r="BI120" s="141"/>
      <c r="BJ120" s="141"/>
      <c r="BK120" s="141"/>
      <c r="BL120" s="141"/>
      <c r="BM120" s="141"/>
    </row>
    <row r="121" spans="1:65" ht="16.5" customHeight="1" outlineLevel="2" x14ac:dyDescent="0.2">
      <c r="A121" s="133"/>
      <c r="B121" s="215" t="str">
        <f>IF(OR(SUM(E120:E121)&gt;1,SUM(F120:F121)&gt;1),"somme &gt; 100%","")</f>
        <v/>
      </c>
      <c r="C121" s="208" t="s">
        <v>139</v>
      </c>
      <c r="D121" s="702"/>
      <c r="E121" s="210"/>
      <c r="F121" s="210"/>
      <c r="G121" s="211" t="str">
        <f>IF(C121="-","",G120)</f>
        <v/>
      </c>
      <c r="H121" s="212" t="str">
        <f>IF(E121="","",E121*VLOOKUP($C121,Données!$B$245:$G249,3,FALSE())*E$28)</f>
        <v/>
      </c>
      <c r="I121" s="212" t="str">
        <f>IF(F121="","",F121*VLOOKUP($C121,Données!$B$245:$G249,5,FALSE())*F$28)</f>
        <v/>
      </c>
      <c r="J121" s="212" t="b">
        <f>IF(J$98&gt;0,IF($E121="","",IF(J$98&gt;VLOOKUP($C121,Données!$B$245:$G$249,6,FALSE()),"",E121*F$28*VLOOKUP($C121,Données!$B$245:$G$249,3,FALSE())*(1-J$98/VLOOKUP($C121,Données!$B$245:$G$249,6,FALSE())))))</f>
        <v>0</v>
      </c>
      <c r="K121" s="214"/>
      <c r="L121" s="143"/>
      <c r="M121" s="143"/>
      <c r="N121" s="143"/>
      <c r="O121" s="143"/>
      <c r="P121" s="143"/>
      <c r="Q121" s="143"/>
      <c r="R121" s="143"/>
      <c r="S121" s="143"/>
      <c r="T121" s="143"/>
      <c r="U121" s="141"/>
      <c r="V121" s="141"/>
      <c r="W121" s="141"/>
      <c r="X121" s="141"/>
      <c r="Y121" s="141"/>
      <c r="Z121" s="141"/>
      <c r="AA121" s="141"/>
      <c r="AB121" s="141"/>
      <c r="AC121" s="141"/>
      <c r="AD121" s="141"/>
      <c r="AE121" s="141"/>
      <c r="AF121" s="141"/>
      <c r="AG121" s="141"/>
      <c r="AH121" s="141"/>
      <c r="AI121" s="141"/>
      <c r="AJ121" s="141"/>
      <c r="AK121" s="141"/>
      <c r="AL121" s="141"/>
      <c r="AM121" s="141"/>
      <c r="AN121" s="141"/>
      <c r="AO121" s="141"/>
      <c r="AP121" s="141"/>
      <c r="AQ121" s="141"/>
      <c r="AR121" s="141"/>
      <c r="AS121" s="141"/>
      <c r="AT121" s="141"/>
      <c r="AU121" s="141"/>
      <c r="AV121" s="141"/>
      <c r="AW121" s="141"/>
      <c r="AX121" s="141"/>
      <c r="AY121" s="141"/>
      <c r="AZ121" s="141"/>
      <c r="BA121" s="141"/>
      <c r="BB121" s="141"/>
      <c r="BC121" s="141"/>
      <c r="BD121" s="141"/>
      <c r="BE121" s="141"/>
      <c r="BF121" s="141"/>
      <c r="BG121" s="141"/>
      <c r="BH121" s="141"/>
      <c r="BI121" s="141"/>
      <c r="BJ121" s="141"/>
      <c r="BK121" s="141"/>
      <c r="BL121" s="141"/>
      <c r="BM121" s="141"/>
    </row>
    <row r="122" spans="1:65" ht="5.25" customHeight="1" outlineLevel="2" x14ac:dyDescent="0.2">
      <c r="A122" s="133"/>
      <c r="B122" s="204"/>
      <c r="C122" s="205"/>
      <c r="D122" s="205"/>
      <c r="E122" s="206"/>
      <c r="F122" s="206"/>
      <c r="G122" s="207"/>
      <c r="H122" s="229"/>
      <c r="I122" s="229"/>
      <c r="J122" s="206"/>
      <c r="K122" s="164"/>
      <c r="L122" s="141"/>
      <c r="M122" s="141"/>
      <c r="N122" s="141"/>
      <c r="O122" s="141"/>
      <c r="P122" s="141"/>
      <c r="Q122" s="141"/>
      <c r="R122" s="141"/>
      <c r="S122" s="141"/>
      <c r="T122" s="141"/>
      <c r="U122" s="141"/>
      <c r="V122" s="141"/>
      <c r="W122" s="141"/>
      <c r="X122" s="141"/>
      <c r="Y122" s="141"/>
      <c r="Z122" s="141"/>
      <c r="AA122" s="141"/>
      <c r="AB122" s="141"/>
      <c r="AC122" s="141"/>
      <c r="AD122" s="141"/>
      <c r="AE122" s="141"/>
      <c r="AF122" s="141"/>
      <c r="AG122" s="141"/>
      <c r="AH122" s="141"/>
      <c r="AI122" s="141"/>
      <c r="AJ122" s="141"/>
      <c r="AK122" s="141"/>
      <c r="AL122" s="141"/>
      <c r="AM122" s="141"/>
      <c r="AN122" s="141"/>
      <c r="AO122" s="141"/>
      <c r="AP122" s="141"/>
      <c r="AQ122" s="141"/>
      <c r="AR122" s="141"/>
      <c r="AS122" s="141"/>
      <c r="AT122" s="141"/>
      <c r="AU122" s="141"/>
      <c r="AV122" s="141"/>
      <c r="AW122" s="141"/>
      <c r="AX122" s="141"/>
      <c r="AY122" s="141"/>
      <c r="AZ122" s="141"/>
      <c r="BA122" s="141"/>
      <c r="BB122" s="141"/>
      <c r="BC122" s="141"/>
      <c r="BD122" s="141"/>
      <c r="BE122" s="141"/>
      <c r="BF122" s="141"/>
      <c r="BG122" s="141"/>
      <c r="BH122" s="141"/>
      <c r="BI122" s="141"/>
      <c r="BJ122" s="141"/>
      <c r="BK122" s="141"/>
      <c r="BL122" s="141"/>
      <c r="BM122" s="141"/>
    </row>
    <row r="123" spans="1:65" ht="16.5" customHeight="1" outlineLevel="2" x14ac:dyDescent="0.2">
      <c r="A123" s="133"/>
      <c r="B123" s="197" t="s">
        <v>205</v>
      </c>
      <c r="C123" s="208" t="s">
        <v>139</v>
      </c>
      <c r="D123" s="702"/>
      <c r="E123" s="210">
        <v>0</v>
      </c>
      <c r="F123" s="210">
        <v>0</v>
      </c>
      <c r="G123" s="211" t="s">
        <v>203</v>
      </c>
      <c r="H123" s="212">
        <f>E123*VLOOKUP($C123,Données!$B$250:$G$253,3,FALSE())*E$28</f>
        <v>0</v>
      </c>
      <c r="I123" s="212">
        <f>F123*VLOOKUP($C123,Données!$B$250:$G$253,5,FALSE())*F$28</f>
        <v>0</v>
      </c>
      <c r="J123" s="212" t="b">
        <f>IF(J$98&gt;0,IF(J$98&gt;VLOOKUP($C123,Données!$B$250:$G$253,6,FALSE()),"",F123*F$28*VLOOKUP($C123,Données!$B$250:$G$253,3,FALSE())*(1-J$98/VLOOKUP($C123,Données!$B$250:$G$253,6,FALSE()))))</f>
        <v>0</v>
      </c>
      <c r="K123" s="254"/>
      <c r="L123" s="143"/>
      <c r="M123" s="143"/>
      <c r="N123" s="143"/>
      <c r="O123" s="143"/>
      <c r="P123" s="143"/>
      <c r="Q123" s="143"/>
      <c r="R123" s="143"/>
      <c r="S123" s="143"/>
      <c r="T123" s="143"/>
      <c r="U123" s="141"/>
      <c r="V123" s="141"/>
      <c r="W123" s="141"/>
      <c r="X123" s="141"/>
      <c r="Y123" s="141"/>
      <c r="Z123" s="141"/>
      <c r="AA123" s="141"/>
      <c r="AB123" s="141"/>
      <c r="AC123" s="141"/>
      <c r="AD123" s="141"/>
      <c r="AE123" s="141"/>
      <c r="AF123" s="141"/>
      <c r="AG123" s="141"/>
      <c r="AH123" s="141"/>
      <c r="AI123" s="141"/>
      <c r="AJ123" s="141"/>
      <c r="AK123" s="141"/>
      <c r="AL123" s="141"/>
      <c r="AM123" s="141"/>
      <c r="AN123" s="141"/>
      <c r="AO123" s="141"/>
      <c r="AP123" s="141"/>
      <c r="AQ123" s="141"/>
      <c r="AR123" s="141"/>
      <c r="AS123" s="141"/>
      <c r="AT123" s="141"/>
      <c r="AU123" s="141"/>
      <c r="AV123" s="141"/>
      <c r="AW123" s="141"/>
      <c r="AX123" s="141"/>
      <c r="AY123" s="141"/>
      <c r="AZ123" s="141"/>
      <c r="BA123" s="141"/>
      <c r="BB123" s="141"/>
      <c r="BC123" s="141"/>
      <c r="BD123" s="141"/>
      <c r="BE123" s="141"/>
      <c r="BF123" s="141"/>
      <c r="BG123" s="141"/>
      <c r="BH123" s="141"/>
      <c r="BI123" s="141"/>
      <c r="BJ123" s="141"/>
      <c r="BK123" s="141"/>
      <c r="BL123" s="141"/>
      <c r="BM123" s="141"/>
    </row>
    <row r="124" spans="1:65" ht="16.5" customHeight="1" outlineLevel="2" x14ac:dyDescent="0.2">
      <c r="A124" s="133"/>
      <c r="B124" s="215" t="str">
        <f>IF(OR(SUM(E123:E124)&gt;1,SUM(F123:F124)&gt;1),"somme &gt; 100%","")</f>
        <v/>
      </c>
      <c r="C124" s="208" t="s">
        <v>139</v>
      </c>
      <c r="D124" s="702"/>
      <c r="E124" s="210"/>
      <c r="F124" s="210"/>
      <c r="G124" s="211" t="str">
        <f>IF(C124="-","",G123)</f>
        <v/>
      </c>
      <c r="H124" s="212" t="str">
        <f>IF(E124="","",E124*VLOOKUP($C124,Données!$B$250:$G$253,3,FALSE())*E$28)</f>
        <v/>
      </c>
      <c r="I124" s="212" t="str">
        <f>IF(F124="","",F124*VLOOKUP($C124,Données!$B$250:$G$253,5,FALSE())*F$28)</f>
        <v/>
      </c>
      <c r="J124" s="212" t="b">
        <f>IF(J$129&gt;0,IF($E124="","",IF(J$129&gt;VLOOKUP($C124,Données!$B$250:$G$253,6,FALSE()),"",E124*F$28*VLOOKUP($C124,Données!$B$250:$G$253,3,FALSE())*(1-J$129/VLOOKUP($C124,Données!$B$250:$G$253,6,FALSE())))))</f>
        <v>0</v>
      </c>
      <c r="K124" s="254"/>
      <c r="L124" s="143"/>
      <c r="M124" s="143"/>
      <c r="N124" s="143"/>
      <c r="O124" s="143"/>
      <c r="P124" s="143"/>
      <c r="Q124" s="143"/>
      <c r="R124" s="143"/>
      <c r="S124" s="143"/>
      <c r="T124" s="143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  <c r="AI124" s="141"/>
      <c r="AJ124" s="141"/>
      <c r="AK124" s="141"/>
      <c r="AL124" s="141"/>
      <c r="AM124" s="141"/>
      <c r="AN124" s="141"/>
      <c r="AO124" s="141"/>
      <c r="AP124" s="141"/>
      <c r="AQ124" s="141"/>
      <c r="AR124" s="141"/>
      <c r="AS124" s="141"/>
      <c r="AT124" s="141"/>
      <c r="AU124" s="141"/>
      <c r="AV124" s="141"/>
      <c r="AW124" s="141"/>
      <c r="AX124" s="141"/>
      <c r="AY124" s="141"/>
      <c r="AZ124" s="141"/>
      <c r="BA124" s="141"/>
      <c r="BB124" s="141"/>
      <c r="BC124" s="141"/>
      <c r="BD124" s="141"/>
      <c r="BE124" s="141"/>
      <c r="BF124" s="141"/>
      <c r="BG124" s="141"/>
      <c r="BH124" s="141"/>
      <c r="BI124" s="141"/>
      <c r="BJ124" s="141"/>
      <c r="BK124" s="141"/>
      <c r="BL124" s="141"/>
      <c r="BM124" s="141"/>
    </row>
    <row r="125" spans="1:65" ht="5.25" customHeight="1" outlineLevel="2" x14ac:dyDescent="0.2">
      <c r="A125" s="133"/>
      <c r="B125" s="204"/>
      <c r="C125" s="233"/>
      <c r="D125" s="205"/>
      <c r="E125" s="206"/>
      <c r="F125" s="206"/>
      <c r="G125" s="207"/>
      <c r="H125" s="234"/>
      <c r="I125" s="234"/>
      <c r="J125" s="235"/>
      <c r="K125" s="141"/>
      <c r="L125" s="141"/>
      <c r="M125" s="141"/>
      <c r="N125" s="141"/>
      <c r="O125" s="141"/>
      <c r="P125" s="141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41"/>
      <c r="AE125" s="141"/>
      <c r="AF125" s="141"/>
      <c r="AG125" s="141"/>
      <c r="AH125" s="141"/>
      <c r="AI125" s="141"/>
      <c r="AJ125" s="141"/>
      <c r="AK125" s="141"/>
      <c r="AL125" s="141"/>
      <c r="AM125" s="141"/>
      <c r="AN125" s="141"/>
      <c r="AO125" s="141"/>
      <c r="AP125" s="141"/>
      <c r="AQ125" s="141"/>
      <c r="AR125" s="141"/>
      <c r="AS125" s="141"/>
      <c r="AT125" s="141"/>
      <c r="AU125" s="141"/>
      <c r="AV125" s="141"/>
      <c r="AW125" s="141"/>
      <c r="AX125" s="141"/>
    </row>
    <row r="126" spans="1:65" ht="16.5" customHeight="1" outlineLevel="2" x14ac:dyDescent="0.2">
      <c r="A126" s="133"/>
      <c r="B126" s="197" t="s">
        <v>171</v>
      </c>
      <c r="C126" s="236" t="s">
        <v>172</v>
      </c>
      <c r="D126" s="209"/>
      <c r="E126" s="1">
        <v>0</v>
      </c>
      <c r="F126" s="1">
        <v>0</v>
      </c>
      <c r="G126" s="211" t="str">
        <f>CONCATENATE("kgCO2e / ",G127)</f>
        <v>kgCO2e / unité</v>
      </c>
      <c r="H126" s="705">
        <f>E126*E127</f>
        <v>0</v>
      </c>
      <c r="I126" s="705">
        <f>F126*F127</f>
        <v>0</v>
      </c>
      <c r="J126" s="706"/>
      <c r="K126" s="141"/>
      <c r="L126" s="141"/>
      <c r="M126" s="141"/>
      <c r="N126" s="141"/>
      <c r="O126" s="141"/>
      <c r="P126" s="141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41"/>
      <c r="AE126" s="141"/>
      <c r="AF126" s="141"/>
      <c r="AG126" s="141"/>
      <c r="AH126" s="141"/>
      <c r="AI126" s="141"/>
      <c r="AJ126" s="141"/>
      <c r="AK126" s="141"/>
      <c r="AL126" s="141"/>
      <c r="AM126" s="141"/>
      <c r="AN126" s="141"/>
      <c r="AO126" s="141"/>
      <c r="AP126" s="141"/>
      <c r="AQ126" s="141"/>
      <c r="AR126" s="141"/>
      <c r="AS126" s="141"/>
      <c r="AT126" s="141"/>
      <c r="AU126" s="141"/>
      <c r="AV126" s="141"/>
      <c r="AW126" s="141"/>
      <c r="AX126" s="141"/>
    </row>
    <row r="127" spans="1:65" ht="16.5" customHeight="1" outlineLevel="2" x14ac:dyDescent="0.2">
      <c r="A127" s="133"/>
      <c r="B127" s="237" t="s">
        <v>173</v>
      </c>
      <c r="C127" s="236" t="s">
        <v>174</v>
      </c>
      <c r="D127" s="209"/>
      <c r="E127" s="1">
        <v>0</v>
      </c>
      <c r="F127" s="1">
        <v>0</v>
      </c>
      <c r="G127" s="238" t="s">
        <v>175</v>
      </c>
      <c r="H127" s="705"/>
      <c r="I127" s="705"/>
      <c r="J127" s="706"/>
      <c r="K127" s="141"/>
      <c r="L127" s="141"/>
      <c r="M127" s="141"/>
      <c r="N127" s="141"/>
      <c r="O127" s="141"/>
      <c r="P127" s="141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41"/>
      <c r="AE127" s="141"/>
      <c r="AF127" s="141"/>
      <c r="AG127" s="141"/>
      <c r="AH127" s="141"/>
      <c r="AI127" s="141"/>
      <c r="AJ127" s="141"/>
      <c r="AK127" s="141"/>
      <c r="AL127" s="141"/>
      <c r="AM127" s="141"/>
      <c r="AN127" s="141"/>
      <c r="AO127" s="141"/>
      <c r="AP127" s="141"/>
      <c r="AQ127" s="141"/>
      <c r="AR127" s="141"/>
      <c r="AS127" s="141"/>
      <c r="AT127" s="141"/>
      <c r="AU127" s="141"/>
      <c r="AV127" s="141"/>
      <c r="AW127" s="141"/>
      <c r="AX127" s="141"/>
    </row>
    <row r="128" spans="1:65" ht="13.5" outlineLevel="1" x14ac:dyDescent="0.2">
      <c r="A128" s="133"/>
      <c r="B128" s="248"/>
      <c r="C128" s="178"/>
      <c r="D128" s="178"/>
      <c r="E128" s="179"/>
      <c r="F128" s="179"/>
      <c r="G128" s="217"/>
      <c r="H128" s="179"/>
      <c r="I128" s="179"/>
      <c r="J128" s="179"/>
      <c r="K128" s="144"/>
      <c r="L128" s="141"/>
      <c r="M128" s="141"/>
      <c r="N128" s="141"/>
      <c r="O128" s="141"/>
      <c r="P128" s="141"/>
      <c r="Q128" s="141"/>
      <c r="R128" s="141"/>
      <c r="S128" s="141"/>
      <c r="T128" s="141"/>
      <c r="U128" s="141"/>
      <c r="V128" s="141"/>
      <c r="W128" s="141"/>
      <c r="X128" s="141"/>
      <c r="Y128" s="141"/>
      <c r="Z128" s="141"/>
      <c r="AA128" s="141"/>
      <c r="AB128" s="141"/>
      <c r="AC128" s="141"/>
      <c r="AD128" s="141"/>
      <c r="AE128" s="141"/>
      <c r="AF128" s="141"/>
      <c r="AG128" s="141"/>
      <c r="AH128" s="141"/>
      <c r="AI128" s="141"/>
      <c r="AJ128" s="141"/>
      <c r="AK128" s="141"/>
      <c r="AL128" s="141"/>
      <c r="AM128" s="141"/>
      <c r="AN128" s="141"/>
      <c r="AO128" s="141"/>
      <c r="AP128" s="141"/>
      <c r="AQ128" s="141"/>
      <c r="AR128" s="141"/>
      <c r="AS128" s="141"/>
      <c r="AT128" s="141"/>
      <c r="AU128" s="141"/>
      <c r="AV128" s="141"/>
      <c r="AW128" s="141"/>
      <c r="AX128" s="141"/>
      <c r="AY128" s="141"/>
      <c r="AZ128" s="141"/>
      <c r="BA128" s="141"/>
      <c r="BB128" s="141"/>
      <c r="BC128" s="141"/>
      <c r="BD128" s="141"/>
      <c r="BE128" s="141"/>
      <c r="BF128" s="141"/>
      <c r="BG128" s="141"/>
      <c r="BH128" s="141"/>
      <c r="BI128" s="141"/>
      <c r="BJ128" s="141"/>
      <c r="BK128" s="141"/>
      <c r="BL128" s="141"/>
      <c r="BM128" s="141"/>
    </row>
    <row r="129" spans="1:65" ht="16.5" customHeight="1" outlineLevel="1" x14ac:dyDescent="0.2">
      <c r="A129" s="133"/>
      <c r="B129" s="218" t="s">
        <v>206</v>
      </c>
      <c r="C129" s="192"/>
      <c r="D129" s="192" t="s">
        <v>207</v>
      </c>
      <c r="E129" s="193"/>
      <c r="F129" s="193"/>
      <c r="G129" s="219"/>
      <c r="H129" s="195"/>
      <c r="I129" s="220" t="s">
        <v>146</v>
      </c>
      <c r="J129" s="241">
        <f>IF(PROJET!E$31&gt;0,IF(PROJET!$D$15-MAX(PROJET!$D$16,PROJET!$D$32,0)&lt;101,PROJET!$D$15-MAX(PROJET!$D$16,PROJET!$D$32,0),""),J$75)</f>
        <v>0</v>
      </c>
      <c r="K129" s="196"/>
      <c r="L129" s="141"/>
      <c r="M129" s="141"/>
      <c r="N129" s="141"/>
      <c r="O129" s="141"/>
      <c r="P129" s="141"/>
      <c r="Q129" s="141"/>
      <c r="R129" s="141"/>
      <c r="S129" s="141"/>
      <c r="T129" s="141"/>
      <c r="U129" s="141"/>
      <c r="V129" s="141"/>
      <c r="W129" s="141"/>
      <c r="X129" s="141"/>
      <c r="Y129" s="141"/>
      <c r="Z129" s="141"/>
      <c r="AA129" s="141"/>
      <c r="AB129" s="141"/>
      <c r="AC129" s="141"/>
      <c r="AD129" s="141"/>
      <c r="AE129" s="141"/>
      <c r="AF129" s="141"/>
      <c r="AG129" s="141"/>
      <c r="AH129" s="141"/>
      <c r="AI129" s="141"/>
      <c r="AJ129" s="141"/>
      <c r="AK129" s="141"/>
      <c r="AL129" s="141"/>
      <c r="AM129" s="141"/>
      <c r="AN129" s="141"/>
      <c r="AO129" s="141"/>
      <c r="AP129" s="141"/>
      <c r="AQ129" s="141"/>
      <c r="AR129" s="141"/>
      <c r="AS129" s="141"/>
      <c r="AT129" s="141"/>
      <c r="AU129" s="141"/>
      <c r="AV129" s="141"/>
      <c r="AW129" s="141"/>
      <c r="AX129" s="141"/>
      <c r="AY129" s="141"/>
      <c r="AZ129" s="141"/>
      <c r="BA129" s="141"/>
      <c r="BB129" s="141"/>
      <c r="BC129" s="141"/>
      <c r="BD129" s="141"/>
      <c r="BE129" s="141"/>
      <c r="BF129" s="141"/>
      <c r="BG129" s="141"/>
      <c r="BH129" s="141"/>
      <c r="BI129" s="141"/>
      <c r="BJ129" s="141"/>
      <c r="BK129" s="141"/>
      <c r="BL129" s="141"/>
      <c r="BM129" s="141"/>
    </row>
    <row r="130" spans="1:65" ht="16.5" customHeight="1" outlineLevel="2" x14ac:dyDescent="0.2">
      <c r="A130" s="133"/>
      <c r="B130" s="197" t="s">
        <v>208</v>
      </c>
      <c r="C130" s="249" t="s">
        <v>139</v>
      </c>
      <c r="D130" s="704"/>
      <c r="E130" s="250">
        <v>0</v>
      </c>
      <c r="F130" s="250">
        <v>0</v>
      </c>
      <c r="G130" s="222" t="s">
        <v>209</v>
      </c>
      <c r="H130" s="201">
        <f>E130*VLOOKUP($C130,Données!$B$255:$G$259,3,FALSE())*E$18</f>
        <v>0</v>
      </c>
      <c r="I130" s="201">
        <f>F130*VLOOKUP($C130,Données!$B$255:$G$259,5,FALSE())*F$18</f>
        <v>0</v>
      </c>
      <c r="J130" s="201" t="b">
        <f>IF(J$129&gt;0,IF(J$129&gt;VLOOKUP($C130,Données!$B$255:$G$259,6,FALSE()),"",F130*F$18*VLOOKUP($C130,Données!$B$255:$G$259,3,FALSE())*(1-J$129/VLOOKUP($C130,Données!$B$255:$G$259,6,FALSE()))))</f>
        <v>0</v>
      </c>
      <c r="K130" s="251"/>
      <c r="L130" s="143"/>
      <c r="M130" s="143"/>
      <c r="N130" s="143"/>
      <c r="O130" s="143"/>
      <c r="P130" s="143"/>
      <c r="Q130" s="143"/>
      <c r="R130" s="143"/>
      <c r="S130" s="143"/>
      <c r="T130" s="143"/>
      <c r="U130" s="141"/>
      <c r="V130" s="141"/>
      <c r="W130" s="141"/>
      <c r="X130" s="141"/>
      <c r="Y130" s="141"/>
      <c r="Z130" s="141"/>
      <c r="AA130" s="141"/>
      <c r="AB130" s="141"/>
      <c r="AC130" s="141"/>
      <c r="AD130" s="141"/>
      <c r="AE130" s="141"/>
      <c r="AF130" s="141"/>
      <c r="AG130" s="141"/>
      <c r="AH130" s="141"/>
      <c r="AI130" s="141"/>
      <c r="AJ130" s="141"/>
      <c r="AK130" s="141"/>
      <c r="AL130" s="141"/>
      <c r="AM130" s="141"/>
      <c r="AN130" s="141"/>
      <c r="AO130" s="141"/>
      <c r="AP130" s="141"/>
      <c r="AQ130" s="141"/>
      <c r="AR130" s="141"/>
      <c r="AS130" s="141"/>
      <c r="AT130" s="141"/>
      <c r="AU130" s="141"/>
      <c r="AV130" s="141"/>
      <c r="AW130" s="141"/>
      <c r="AX130" s="141"/>
      <c r="AY130" s="141"/>
      <c r="AZ130" s="141"/>
      <c r="BA130" s="141"/>
      <c r="BB130" s="141"/>
      <c r="BC130" s="141"/>
      <c r="BD130" s="141"/>
      <c r="BE130" s="141"/>
      <c r="BF130" s="141"/>
      <c r="BG130" s="141"/>
      <c r="BH130" s="141"/>
      <c r="BI130" s="141"/>
      <c r="BJ130" s="141"/>
      <c r="BK130" s="141"/>
      <c r="BL130" s="141"/>
      <c r="BM130" s="141"/>
    </row>
    <row r="131" spans="1:65" ht="16.5" customHeight="1" outlineLevel="2" x14ac:dyDescent="0.2">
      <c r="A131" s="133"/>
      <c r="B131" s="215" t="str">
        <f>IF(SUM(E130:E131)&gt;1,"somme &gt; 100%","")</f>
        <v/>
      </c>
      <c r="C131" s="208" t="s">
        <v>139</v>
      </c>
      <c r="D131" s="704"/>
      <c r="E131" s="210"/>
      <c r="F131" s="210"/>
      <c r="G131" s="211" t="str">
        <f>IF(C131="-","",G130)</f>
        <v/>
      </c>
      <c r="H131" s="212" t="str">
        <f>IF(E131="","",E131*VLOOKUP($C131,Données!$B$255:$G$259,3,FALSE())*E$18)</f>
        <v/>
      </c>
      <c r="I131" s="212" t="str">
        <f>IF(F131="","",F131*VLOOKUP($C131,Données!$B$255:$G$259,5,FALSE())*F$18)</f>
        <v/>
      </c>
      <c r="J131" s="212" t="b">
        <f>IF(J$129&gt;0,IF($E131="","",IF(J$129&gt;VLOOKUP($C131,Données!$B$255:$G$259,6,FALSE()),"",E131*F$18*VLOOKUP($C131,Données!$B$255:$G$259,3,FALSE())*(1-J$129/VLOOKUP($C131,Données!$B$255:$G$259,6,FALSE())))))</f>
        <v>0</v>
      </c>
      <c r="K131" s="214"/>
      <c r="L131" s="143"/>
      <c r="M131" s="143"/>
      <c r="N131" s="143"/>
      <c r="O131" s="143"/>
      <c r="P131" s="143"/>
      <c r="Q131" s="143"/>
      <c r="R131" s="143"/>
      <c r="S131" s="143"/>
      <c r="T131" s="143"/>
      <c r="U131" s="141"/>
      <c r="V131" s="141"/>
      <c r="W131" s="141"/>
      <c r="X131" s="141"/>
      <c r="Y131" s="141"/>
      <c r="Z131" s="141"/>
      <c r="AA131" s="141"/>
      <c r="AB131" s="141"/>
      <c r="AC131" s="141"/>
      <c r="AD131" s="141"/>
      <c r="AE131" s="141"/>
      <c r="AF131" s="141"/>
      <c r="AG131" s="141"/>
      <c r="AH131" s="141"/>
      <c r="AI131" s="141"/>
      <c r="AJ131" s="141"/>
      <c r="AK131" s="141"/>
      <c r="AL131" s="141"/>
      <c r="AM131" s="141"/>
      <c r="AN131" s="141"/>
      <c r="AO131" s="141"/>
      <c r="AP131" s="141"/>
      <c r="AQ131" s="141"/>
      <c r="AR131" s="141"/>
      <c r="AS131" s="141"/>
      <c r="AT131" s="141"/>
      <c r="AU131" s="141"/>
      <c r="AV131" s="141"/>
      <c r="AW131" s="141"/>
      <c r="AX131" s="141"/>
      <c r="AY131" s="141"/>
      <c r="AZ131" s="141"/>
      <c r="BA131" s="141"/>
      <c r="BB131" s="141"/>
      <c r="BC131" s="141"/>
      <c r="BD131" s="141"/>
      <c r="BE131" s="141"/>
      <c r="BF131" s="141"/>
      <c r="BG131" s="141"/>
      <c r="BH131" s="141"/>
      <c r="BI131" s="141"/>
      <c r="BJ131" s="141"/>
      <c r="BK131" s="141"/>
      <c r="BL131" s="141"/>
      <c r="BM131" s="141"/>
    </row>
    <row r="132" spans="1:65" ht="5.25" customHeight="1" outlineLevel="2" x14ac:dyDescent="0.2">
      <c r="A132" s="133"/>
      <c r="B132" s="204"/>
      <c r="C132" s="255"/>
      <c r="D132" s="246"/>
      <c r="E132" s="235"/>
      <c r="F132" s="235"/>
      <c r="G132" s="247"/>
      <c r="H132" s="234"/>
      <c r="I132" s="234"/>
      <c r="J132" s="235"/>
      <c r="K132" s="144"/>
      <c r="L132" s="143"/>
      <c r="M132" s="143"/>
      <c r="N132" s="143"/>
      <c r="O132" s="143"/>
      <c r="P132" s="143"/>
      <c r="Q132" s="143"/>
      <c r="R132" s="143"/>
      <c r="S132" s="143"/>
      <c r="T132" s="143"/>
      <c r="U132" s="141"/>
      <c r="V132" s="141"/>
      <c r="W132" s="141"/>
      <c r="X132" s="141"/>
      <c r="Y132" s="141"/>
      <c r="Z132" s="141"/>
      <c r="AA132" s="141"/>
      <c r="AB132" s="141"/>
      <c r="AC132" s="141"/>
      <c r="AD132" s="141"/>
      <c r="AE132" s="141"/>
      <c r="AF132" s="141"/>
      <c r="AG132" s="141"/>
      <c r="AH132" s="141"/>
      <c r="AI132" s="141"/>
      <c r="AJ132" s="141"/>
      <c r="AK132" s="141"/>
      <c r="AL132" s="141"/>
      <c r="AM132" s="141"/>
      <c r="AN132" s="141"/>
      <c r="AO132" s="141"/>
      <c r="AP132" s="141"/>
      <c r="AQ132" s="141"/>
      <c r="AR132" s="141"/>
      <c r="AS132" s="141"/>
      <c r="AT132" s="141"/>
      <c r="AU132" s="141"/>
      <c r="AV132" s="141"/>
      <c r="AW132" s="141"/>
      <c r="AX132" s="141"/>
      <c r="AY132" s="141"/>
      <c r="AZ132" s="141"/>
      <c r="BA132" s="141"/>
      <c r="BB132" s="141"/>
      <c r="BC132" s="141"/>
      <c r="BD132" s="141"/>
      <c r="BE132" s="141"/>
      <c r="BF132" s="141"/>
      <c r="BG132" s="141"/>
      <c r="BH132" s="141"/>
      <c r="BI132" s="141"/>
      <c r="BJ132" s="141"/>
      <c r="BK132" s="141"/>
      <c r="BL132" s="141"/>
      <c r="BM132" s="141"/>
    </row>
    <row r="133" spans="1:65" ht="16.5" customHeight="1" outlineLevel="2" x14ac:dyDescent="0.2">
      <c r="A133" s="133"/>
      <c r="B133" s="197" t="s">
        <v>210</v>
      </c>
      <c r="C133" s="208" t="s">
        <v>139</v>
      </c>
      <c r="D133" s="702"/>
      <c r="E133" s="1">
        <v>0</v>
      </c>
      <c r="F133" s="1">
        <v>0</v>
      </c>
      <c r="G133" s="211" t="s">
        <v>211</v>
      </c>
      <c r="H133" s="212">
        <f>E133*VLOOKUP($C133,Données!$B$260:$G$265,3,FALSE())</f>
        <v>0</v>
      </c>
      <c r="I133" s="212">
        <f>F133*VLOOKUP($C133,Données!$B$260:$G$265,5,FALSE())</f>
        <v>0</v>
      </c>
      <c r="J133" s="212" t="b">
        <f>IF(J$129&gt;0,IF(J$129&gt;VLOOKUP($C133,Données!$B$260:$G$265,6,FALSE()),"",F133*VLOOKUP($C133,Données!$B$260:$G$265,3,FALSE())*(1-J$129/VLOOKUP($C133,Données!$B$260:$G$265,6,FALSE()))))</f>
        <v>0</v>
      </c>
      <c r="K133" s="176"/>
      <c r="L133" s="143"/>
      <c r="M133" s="143"/>
      <c r="N133" s="143"/>
      <c r="O133" s="143"/>
      <c r="P133" s="143"/>
      <c r="Q133" s="143"/>
      <c r="R133" s="143"/>
      <c r="S133" s="143"/>
      <c r="T133" s="143"/>
      <c r="U133" s="141"/>
      <c r="V133" s="141"/>
      <c r="W133" s="141"/>
      <c r="X133" s="141"/>
      <c r="Y133" s="141"/>
      <c r="Z133" s="141"/>
      <c r="AA133" s="141"/>
      <c r="AB133" s="141"/>
      <c r="AC133" s="141"/>
      <c r="AD133" s="141"/>
      <c r="AE133" s="141"/>
      <c r="AF133" s="141"/>
      <c r="AG133" s="141"/>
      <c r="AH133" s="141"/>
      <c r="AI133" s="141"/>
      <c r="AJ133" s="141"/>
      <c r="AK133" s="141"/>
      <c r="AL133" s="141"/>
      <c r="AM133" s="141"/>
      <c r="AN133" s="141"/>
      <c r="AO133" s="141"/>
      <c r="AP133" s="141"/>
      <c r="AQ133" s="141"/>
      <c r="AR133" s="141"/>
      <c r="AS133" s="141"/>
      <c r="AT133" s="141"/>
      <c r="AU133" s="141"/>
      <c r="AV133" s="141"/>
      <c r="AW133" s="141"/>
      <c r="AX133" s="141"/>
      <c r="AY133" s="141"/>
      <c r="AZ133" s="141"/>
      <c r="BA133" s="141"/>
      <c r="BB133" s="141"/>
      <c r="BC133" s="141"/>
      <c r="BD133" s="141"/>
      <c r="BE133" s="141"/>
      <c r="BF133" s="141"/>
      <c r="BG133" s="141"/>
      <c r="BH133" s="141"/>
      <c r="BI133" s="141"/>
      <c r="BJ133" s="141"/>
      <c r="BK133" s="141"/>
      <c r="BL133" s="141"/>
      <c r="BM133" s="141"/>
    </row>
    <row r="134" spans="1:65" ht="16.5" customHeight="1" outlineLevel="2" x14ac:dyDescent="0.2">
      <c r="A134" s="133"/>
      <c r="B134" s="197"/>
      <c r="C134" s="208" t="s">
        <v>139</v>
      </c>
      <c r="D134" s="702"/>
      <c r="E134" s="1"/>
      <c r="F134" s="1"/>
      <c r="G134" s="211" t="str">
        <f>IF(C134="-","",G133)</f>
        <v/>
      </c>
      <c r="H134" s="212" t="str">
        <f>IF(E134="","",E134*VLOOKUP($C134,Données!$B$260:$G$265,3,FALSE()))</f>
        <v/>
      </c>
      <c r="I134" s="212" t="str">
        <f>IF(F134="","",F134*VLOOKUP($C134,Données!$B$260:$G$265,5,FALSE()))</f>
        <v/>
      </c>
      <c r="J134" s="212" t="b">
        <f>IF(J$129&gt;0,IF($E134="","",IF(J$129&gt;VLOOKUP($C134,Données!$B$260:$G$265,6,FALSE()),"",E134*VLOOKUP($C134,Données!$B$260:$G$265,3,FALSE())*(1-J$129/VLOOKUP($C134,Données!$B$260:$G$265,6,FALSE())))))</f>
        <v>0</v>
      </c>
      <c r="K134" s="176"/>
      <c r="L134" s="143"/>
      <c r="M134" s="143"/>
      <c r="N134" s="143"/>
      <c r="O134" s="143"/>
      <c r="P134" s="143"/>
      <c r="Q134" s="143"/>
      <c r="R134" s="143"/>
      <c r="S134" s="143"/>
      <c r="T134" s="143"/>
      <c r="U134" s="141"/>
      <c r="V134" s="141"/>
      <c r="W134" s="141"/>
      <c r="X134" s="141"/>
      <c r="Y134" s="141"/>
      <c r="Z134" s="141"/>
      <c r="AA134" s="141"/>
      <c r="AB134" s="141"/>
      <c r="AC134" s="141"/>
      <c r="AD134" s="141"/>
      <c r="AE134" s="141"/>
      <c r="AF134" s="141"/>
      <c r="AG134" s="141"/>
      <c r="AH134" s="141"/>
      <c r="AI134" s="141"/>
      <c r="AJ134" s="141"/>
      <c r="AK134" s="141"/>
      <c r="AL134" s="141"/>
      <c r="AM134" s="141"/>
      <c r="AN134" s="141"/>
      <c r="AO134" s="141"/>
      <c r="AP134" s="141"/>
      <c r="AQ134" s="141"/>
      <c r="AR134" s="141"/>
      <c r="AS134" s="141"/>
      <c r="AT134" s="141"/>
      <c r="AU134" s="141"/>
      <c r="AV134" s="141"/>
      <c r="AW134" s="141"/>
      <c r="AX134" s="141"/>
      <c r="AY134" s="141"/>
      <c r="AZ134" s="141"/>
      <c r="BA134" s="141"/>
      <c r="BB134" s="141"/>
      <c r="BC134" s="141"/>
      <c r="BD134" s="141"/>
      <c r="BE134" s="141"/>
      <c r="BF134" s="141"/>
      <c r="BG134" s="141"/>
      <c r="BH134" s="141"/>
      <c r="BI134" s="141"/>
      <c r="BJ134" s="141"/>
      <c r="BK134" s="141"/>
      <c r="BL134" s="141"/>
      <c r="BM134" s="141"/>
    </row>
    <row r="135" spans="1:65" ht="5.25" customHeight="1" outlineLevel="2" x14ac:dyDescent="0.2">
      <c r="A135" s="133"/>
      <c r="B135" s="204"/>
      <c r="C135" s="233"/>
      <c r="D135" s="205"/>
      <c r="E135" s="206"/>
      <c r="F135" s="206"/>
      <c r="G135" s="207"/>
      <c r="H135" s="234"/>
      <c r="I135" s="234"/>
      <c r="J135" s="235"/>
      <c r="K135" s="144"/>
      <c r="L135" s="143"/>
      <c r="M135" s="143"/>
      <c r="N135" s="143"/>
      <c r="O135" s="143"/>
      <c r="P135" s="143"/>
      <c r="Q135" s="143"/>
      <c r="R135" s="143"/>
      <c r="S135" s="143"/>
      <c r="T135" s="143"/>
      <c r="U135" s="141"/>
      <c r="V135" s="141"/>
      <c r="W135" s="141"/>
      <c r="X135" s="141"/>
      <c r="Y135" s="141"/>
      <c r="Z135" s="141"/>
      <c r="AA135" s="141"/>
      <c r="AB135" s="141"/>
      <c r="AC135" s="141"/>
      <c r="AD135" s="141"/>
      <c r="AE135" s="141"/>
      <c r="AF135" s="141"/>
      <c r="AG135" s="141"/>
      <c r="AH135" s="141"/>
      <c r="AI135" s="141"/>
      <c r="AJ135" s="141"/>
      <c r="AK135" s="141"/>
      <c r="AL135" s="141"/>
      <c r="AM135" s="141"/>
      <c r="AN135" s="141"/>
      <c r="AO135" s="141"/>
      <c r="AP135" s="141"/>
      <c r="AQ135" s="141"/>
      <c r="AR135" s="141"/>
      <c r="AS135" s="141"/>
      <c r="AT135" s="141"/>
      <c r="AU135" s="141"/>
      <c r="AV135" s="141"/>
      <c r="AW135" s="141"/>
      <c r="AX135" s="141"/>
      <c r="AY135" s="141"/>
      <c r="AZ135" s="141"/>
      <c r="BA135" s="141"/>
      <c r="BB135" s="141"/>
      <c r="BC135" s="141"/>
      <c r="BD135" s="141"/>
      <c r="BE135" s="141"/>
      <c r="BF135" s="141"/>
      <c r="BG135" s="141"/>
      <c r="BH135" s="141"/>
      <c r="BI135" s="141"/>
      <c r="BJ135" s="141"/>
      <c r="BK135" s="141"/>
      <c r="BL135" s="141"/>
      <c r="BM135" s="141"/>
    </row>
    <row r="136" spans="1:65" ht="16.5" customHeight="1" outlineLevel="2" x14ac:dyDescent="0.2">
      <c r="A136" s="133"/>
      <c r="B136" s="197" t="s">
        <v>212</v>
      </c>
      <c r="C136" s="208" t="s">
        <v>139</v>
      </c>
      <c r="D136" s="702"/>
      <c r="E136" s="1">
        <v>0</v>
      </c>
      <c r="F136" s="1">
        <v>0</v>
      </c>
      <c r="G136" s="211" t="s">
        <v>213</v>
      </c>
      <c r="H136" s="212">
        <f>E136*(VLOOKUP($C136,Données!$B$266:$G$274,3,FALSE()))</f>
        <v>0</v>
      </c>
      <c r="I136" s="212">
        <f>F136*(VLOOKUP($C136,Données!$B$266:$G$274,5,FALSE()))</f>
        <v>0</v>
      </c>
      <c r="J136" s="212" t="b">
        <f>IF(J$129&gt;0,IF(J$129&gt;VLOOKUP($C136,Données!$B$266:$G$274,6,FALSE()),"",F136*VLOOKUP($C136,Données!$B$266:$G$274,3,FALSE())*(1-J$129/VLOOKUP($C136,Données!$B$266:$G$274,6,FALSE()))))</f>
        <v>0</v>
      </c>
      <c r="K136" s="176"/>
      <c r="L136" s="143"/>
      <c r="M136" s="143"/>
      <c r="N136" s="143"/>
      <c r="O136" s="143"/>
      <c r="P136" s="143"/>
      <c r="Q136" s="143"/>
      <c r="R136" s="143"/>
      <c r="S136" s="143"/>
      <c r="T136" s="143"/>
      <c r="U136" s="141"/>
      <c r="V136" s="141"/>
      <c r="W136" s="141"/>
      <c r="X136" s="141"/>
      <c r="Y136" s="141"/>
      <c r="Z136" s="141"/>
      <c r="AA136" s="141"/>
      <c r="AB136" s="141"/>
      <c r="AC136" s="141"/>
      <c r="AD136" s="141"/>
      <c r="AE136" s="141"/>
      <c r="AF136" s="141"/>
      <c r="AG136" s="141"/>
      <c r="AH136" s="141"/>
      <c r="AI136" s="141"/>
      <c r="AJ136" s="141"/>
      <c r="AK136" s="141"/>
      <c r="AL136" s="141"/>
      <c r="AM136" s="141"/>
      <c r="AN136" s="141"/>
      <c r="AO136" s="141"/>
      <c r="AP136" s="141"/>
      <c r="AQ136" s="141"/>
      <c r="AR136" s="141"/>
      <c r="AS136" s="141"/>
      <c r="AT136" s="141"/>
      <c r="AU136" s="141"/>
      <c r="AV136" s="141"/>
      <c r="AW136" s="141"/>
      <c r="AX136" s="141"/>
      <c r="AY136" s="141"/>
      <c r="AZ136" s="141"/>
      <c r="BA136" s="141"/>
      <c r="BB136" s="141"/>
      <c r="BC136" s="141"/>
      <c r="BD136" s="141"/>
      <c r="BE136" s="141"/>
      <c r="BF136" s="141"/>
      <c r="BG136" s="141"/>
      <c r="BH136" s="141"/>
      <c r="BI136" s="141"/>
      <c r="BJ136" s="141"/>
      <c r="BK136" s="141"/>
      <c r="BL136" s="141"/>
      <c r="BM136" s="141"/>
    </row>
    <row r="137" spans="1:65" ht="16.5" customHeight="1" outlineLevel="2" x14ac:dyDescent="0.2">
      <c r="A137" s="133"/>
      <c r="B137" s="197"/>
      <c r="C137" s="208" t="s">
        <v>139</v>
      </c>
      <c r="D137" s="702"/>
      <c r="E137" s="1"/>
      <c r="F137" s="1"/>
      <c r="G137" s="211" t="str">
        <f>IF(C137="-","",G136)</f>
        <v/>
      </c>
      <c r="H137" s="212" t="str">
        <f>IF(E137="","",E137*(VLOOKUP($C137,Données!$B$266:$G$274,3,FALSE())))</f>
        <v/>
      </c>
      <c r="I137" s="212" t="str">
        <f>IF(F137="","",F137*(VLOOKUP($C137,Données!$B$266:$G$274,5,FALSE())))</f>
        <v/>
      </c>
      <c r="J137" s="212" t="b">
        <f>IF(J$129&gt;0,IF($E137="","",IF(J$129&gt;VLOOKUP($C137,Données!$B$266:$G$274,6,FALSE()),"",E137*VLOOKUP($C137,Données!$B$266:$G$274,3,FALSE())*(1-J$129/VLOOKUP($C137,Données!$B$266:$G$274,6,FALSE())))))</f>
        <v>0</v>
      </c>
      <c r="K137" s="176"/>
      <c r="L137" s="143"/>
      <c r="M137" s="143"/>
      <c r="N137" s="143"/>
      <c r="O137" s="143"/>
      <c r="P137" s="143"/>
      <c r="Q137" s="143"/>
      <c r="R137" s="143"/>
      <c r="S137" s="143"/>
      <c r="T137" s="143"/>
      <c r="U137" s="141"/>
      <c r="V137" s="141"/>
      <c r="W137" s="141"/>
      <c r="X137" s="141"/>
      <c r="Y137" s="141"/>
      <c r="Z137" s="141"/>
      <c r="AA137" s="141"/>
      <c r="AB137" s="141"/>
      <c r="AC137" s="141"/>
      <c r="AD137" s="141"/>
      <c r="AE137" s="141"/>
      <c r="AF137" s="141"/>
      <c r="AG137" s="141"/>
      <c r="AH137" s="141"/>
      <c r="AI137" s="141"/>
      <c r="AJ137" s="141"/>
      <c r="AK137" s="141"/>
      <c r="AL137" s="141"/>
      <c r="AM137" s="141"/>
      <c r="AN137" s="141"/>
      <c r="AO137" s="141"/>
      <c r="AP137" s="141"/>
      <c r="AQ137" s="141"/>
      <c r="AR137" s="141"/>
      <c r="AS137" s="141"/>
      <c r="AT137" s="141"/>
      <c r="AU137" s="141"/>
      <c r="AV137" s="141"/>
      <c r="AW137" s="141"/>
      <c r="AX137" s="141"/>
      <c r="AY137" s="141"/>
      <c r="AZ137" s="141"/>
      <c r="BA137" s="141"/>
      <c r="BB137" s="141"/>
      <c r="BC137" s="141"/>
      <c r="BD137" s="141"/>
      <c r="BE137" s="141"/>
      <c r="BF137" s="141"/>
      <c r="BG137" s="141"/>
      <c r="BH137" s="141"/>
      <c r="BI137" s="141"/>
      <c r="BJ137" s="141"/>
      <c r="BK137" s="141"/>
      <c r="BL137" s="141"/>
      <c r="BM137" s="141"/>
    </row>
    <row r="138" spans="1:65" ht="5.25" customHeight="1" outlineLevel="2" x14ac:dyDescent="0.2">
      <c r="A138" s="133"/>
      <c r="B138" s="204"/>
      <c r="C138" s="233"/>
      <c r="D138" s="205"/>
      <c r="E138" s="206"/>
      <c r="F138" s="206"/>
      <c r="G138" s="207"/>
      <c r="H138" s="234"/>
      <c r="I138" s="234"/>
      <c r="J138" s="235"/>
      <c r="K138" s="144"/>
      <c r="L138" s="143"/>
      <c r="M138" s="143"/>
      <c r="N138" s="143"/>
      <c r="O138" s="143"/>
      <c r="P138" s="143"/>
      <c r="Q138" s="143"/>
      <c r="R138" s="143"/>
      <c r="S138" s="143"/>
      <c r="T138" s="143"/>
      <c r="U138" s="141"/>
      <c r="V138" s="141"/>
      <c r="W138" s="141"/>
      <c r="X138" s="141"/>
      <c r="Y138" s="141"/>
      <c r="Z138" s="141"/>
      <c r="AA138" s="141"/>
      <c r="AB138" s="141"/>
      <c r="AC138" s="141"/>
      <c r="AD138" s="141"/>
      <c r="AE138" s="141"/>
      <c r="AF138" s="141"/>
      <c r="AG138" s="141"/>
      <c r="AH138" s="141"/>
      <c r="AI138" s="141"/>
      <c r="AJ138" s="141"/>
      <c r="AK138" s="141"/>
      <c r="AL138" s="141"/>
      <c r="AM138" s="141"/>
      <c r="AN138" s="141"/>
      <c r="AO138" s="141"/>
      <c r="AP138" s="141"/>
      <c r="AQ138" s="141"/>
      <c r="AR138" s="141"/>
      <c r="AS138" s="141"/>
      <c r="AT138" s="141"/>
      <c r="AU138" s="141"/>
      <c r="AV138" s="141"/>
      <c r="AW138" s="141"/>
      <c r="AX138" s="141"/>
      <c r="AY138" s="141"/>
      <c r="AZ138" s="141"/>
      <c r="BA138" s="141"/>
      <c r="BB138" s="141"/>
      <c r="BC138" s="141"/>
      <c r="BD138" s="141"/>
      <c r="BE138" s="141"/>
      <c r="BF138" s="141"/>
      <c r="BG138" s="141"/>
      <c r="BH138" s="141"/>
      <c r="BI138" s="141"/>
      <c r="BJ138" s="141"/>
      <c r="BK138" s="141"/>
      <c r="BL138" s="141"/>
      <c r="BM138" s="141"/>
    </row>
    <row r="139" spans="1:65" ht="16.5" customHeight="1" outlineLevel="2" x14ac:dyDescent="0.2">
      <c r="A139" s="133"/>
      <c r="B139" s="197" t="s">
        <v>214</v>
      </c>
      <c r="C139" s="208" t="s">
        <v>139</v>
      </c>
      <c r="D139" s="702"/>
      <c r="E139" s="1">
        <v>0</v>
      </c>
      <c r="F139" s="1">
        <v>0</v>
      </c>
      <c r="G139" s="211" t="s">
        <v>167</v>
      </c>
      <c r="H139" s="212">
        <f>E139*VLOOKUP($C139,Données!$B$275:$G$281,3,FALSE())</f>
        <v>0</v>
      </c>
      <c r="I139" s="212">
        <f>F139*VLOOKUP($C139,Données!$B$275:$G$281,5,FALSE())</f>
        <v>0</v>
      </c>
      <c r="J139" s="212" t="b">
        <f>IF(J$129&gt;0,IF(J$129&gt;VLOOKUP($C139,Données!$B$275:$G$281,6,FALSE()),"",F139*VLOOKUP($C139,Données!$B$275:$G$281,3,FALSE())*(1-J$129/VLOOKUP($C139,Données!$B$275:$G$281,6,FALSE()))))</f>
        <v>0</v>
      </c>
      <c r="K139" s="176"/>
      <c r="L139" s="143"/>
      <c r="M139" s="143"/>
      <c r="N139" s="143"/>
      <c r="O139" s="143"/>
      <c r="P139" s="143"/>
      <c r="Q139" s="143"/>
      <c r="R139" s="143"/>
      <c r="S139" s="143"/>
      <c r="T139" s="143"/>
      <c r="U139" s="141"/>
      <c r="V139" s="141"/>
      <c r="W139" s="141"/>
      <c r="X139" s="141"/>
      <c r="Y139" s="141"/>
      <c r="Z139" s="141"/>
      <c r="AA139" s="141"/>
      <c r="AB139" s="141"/>
      <c r="AC139" s="141"/>
      <c r="AD139" s="141"/>
      <c r="AE139" s="141"/>
      <c r="AF139" s="141"/>
      <c r="AG139" s="141"/>
      <c r="AH139" s="141"/>
      <c r="AI139" s="141"/>
      <c r="AJ139" s="141"/>
      <c r="AK139" s="141"/>
      <c r="AL139" s="141"/>
      <c r="AM139" s="141"/>
      <c r="AN139" s="141"/>
      <c r="AO139" s="141"/>
      <c r="AP139" s="141"/>
      <c r="AQ139" s="141"/>
      <c r="AR139" s="141"/>
      <c r="AS139" s="141"/>
      <c r="AT139" s="141"/>
      <c r="AU139" s="141"/>
      <c r="AV139" s="141"/>
      <c r="AW139" s="141"/>
      <c r="AX139" s="141"/>
      <c r="AY139" s="141"/>
      <c r="AZ139" s="141"/>
      <c r="BA139" s="141"/>
      <c r="BB139" s="141"/>
      <c r="BC139" s="141"/>
      <c r="BD139" s="141"/>
      <c r="BE139" s="141"/>
      <c r="BF139" s="141"/>
      <c r="BG139" s="141"/>
      <c r="BH139" s="141"/>
      <c r="BI139" s="141"/>
      <c r="BJ139" s="141"/>
      <c r="BK139" s="141"/>
      <c r="BL139" s="141"/>
      <c r="BM139" s="141"/>
    </row>
    <row r="140" spans="1:65" ht="16.5" customHeight="1" outlineLevel="2" x14ac:dyDescent="0.2">
      <c r="A140" s="133"/>
      <c r="B140" s="197"/>
      <c r="C140" s="208" t="s">
        <v>139</v>
      </c>
      <c r="D140" s="702"/>
      <c r="E140" s="1"/>
      <c r="F140" s="1"/>
      <c r="G140" s="211" t="str">
        <f>IF(C140="-","",G139)</f>
        <v/>
      </c>
      <c r="H140" s="212" t="str">
        <f>IF(E140="","",E140*VLOOKUP($C140,Données!$B$275:$G$281,3,FALSE()))</f>
        <v/>
      </c>
      <c r="I140" s="212" t="str">
        <f>IF(F140="","",F140*VLOOKUP($C140,Données!$B$275:$G$281,5,FALSE()))</f>
        <v/>
      </c>
      <c r="J140" s="212" t="b">
        <f>IF(J$129&gt;0,IF($E140="","",IF(J$129&gt;VLOOKUP($C140,Données!$B$275:$G$281,6,FALSE()),"",E140*VLOOKUP($C140,Données!$B$275:$G$281,3,FALSE())*(1-J$129/VLOOKUP($C140,Données!$B$275:$G$281,6,FALSE())))))</f>
        <v>0</v>
      </c>
      <c r="K140" s="176"/>
      <c r="L140" s="143"/>
      <c r="M140" s="143"/>
      <c r="N140" s="143"/>
      <c r="O140" s="143"/>
      <c r="P140" s="143"/>
      <c r="Q140" s="143"/>
      <c r="R140" s="143"/>
      <c r="S140" s="143"/>
      <c r="T140" s="143"/>
      <c r="U140" s="141"/>
      <c r="V140" s="141"/>
      <c r="W140" s="141"/>
      <c r="X140" s="141"/>
      <c r="Y140" s="141"/>
      <c r="Z140" s="141"/>
      <c r="AA140" s="141"/>
      <c r="AB140" s="141"/>
      <c r="AC140" s="141"/>
      <c r="AD140" s="141"/>
      <c r="AE140" s="141"/>
      <c r="AF140" s="141"/>
      <c r="AG140" s="141"/>
      <c r="AH140" s="141"/>
      <c r="AI140" s="141"/>
      <c r="AJ140" s="141"/>
      <c r="AK140" s="141"/>
      <c r="AL140" s="141"/>
      <c r="AM140" s="141"/>
      <c r="AN140" s="141"/>
      <c r="AO140" s="141"/>
      <c r="AP140" s="141"/>
      <c r="AQ140" s="141"/>
      <c r="AR140" s="141"/>
      <c r="AS140" s="141"/>
      <c r="AT140" s="141"/>
      <c r="AU140" s="141"/>
      <c r="AV140" s="141"/>
      <c r="AW140" s="141"/>
      <c r="AX140" s="141"/>
      <c r="AY140" s="141"/>
      <c r="AZ140" s="141"/>
      <c r="BA140" s="141"/>
      <c r="BB140" s="141"/>
      <c r="BC140" s="141"/>
      <c r="BD140" s="141"/>
      <c r="BE140" s="141"/>
      <c r="BF140" s="141"/>
      <c r="BG140" s="141"/>
      <c r="BH140" s="141"/>
      <c r="BI140" s="141"/>
      <c r="BJ140" s="141"/>
      <c r="BK140" s="141"/>
      <c r="BL140" s="141"/>
      <c r="BM140" s="141"/>
    </row>
    <row r="141" spans="1:65" ht="5.25" customHeight="1" outlineLevel="2" x14ac:dyDescent="0.2">
      <c r="A141" s="133"/>
      <c r="B141" s="204"/>
      <c r="C141" s="233"/>
      <c r="D141" s="205"/>
      <c r="E141" s="206"/>
      <c r="F141" s="206"/>
      <c r="G141" s="207"/>
      <c r="H141" s="234"/>
      <c r="I141" s="234"/>
      <c r="J141" s="235"/>
      <c r="K141" s="144"/>
      <c r="L141" s="143"/>
      <c r="M141" s="143"/>
      <c r="N141" s="143"/>
      <c r="O141" s="143"/>
      <c r="P141" s="143"/>
      <c r="Q141" s="143"/>
      <c r="R141" s="143"/>
      <c r="S141" s="143"/>
      <c r="T141" s="143"/>
      <c r="U141" s="141"/>
      <c r="V141" s="141"/>
      <c r="W141" s="141"/>
      <c r="X141" s="141"/>
      <c r="Y141" s="141"/>
      <c r="Z141" s="141"/>
      <c r="AA141" s="141"/>
      <c r="AB141" s="141"/>
      <c r="AC141" s="141"/>
      <c r="AD141" s="141"/>
      <c r="AE141" s="141"/>
      <c r="AF141" s="141"/>
      <c r="AG141" s="141"/>
      <c r="AH141" s="141"/>
      <c r="AI141" s="141"/>
      <c r="AJ141" s="141"/>
      <c r="AK141" s="141"/>
      <c r="AL141" s="141"/>
      <c r="AM141" s="141"/>
      <c r="AN141" s="141"/>
      <c r="AO141" s="141"/>
      <c r="AP141" s="141"/>
      <c r="AQ141" s="141"/>
      <c r="AR141" s="141"/>
      <c r="AS141" s="141"/>
      <c r="AT141" s="141"/>
      <c r="AU141" s="141"/>
      <c r="AV141" s="141"/>
      <c r="AW141" s="141"/>
      <c r="AX141" s="141"/>
      <c r="AY141" s="141"/>
      <c r="AZ141" s="141"/>
      <c r="BA141" s="141"/>
      <c r="BB141" s="141"/>
      <c r="BC141" s="141"/>
      <c r="BD141" s="141"/>
      <c r="BE141" s="141"/>
      <c r="BF141" s="141"/>
      <c r="BG141" s="141"/>
      <c r="BH141" s="141"/>
      <c r="BI141" s="141"/>
      <c r="BJ141" s="141"/>
      <c r="BK141" s="141"/>
      <c r="BL141" s="141"/>
      <c r="BM141" s="141"/>
    </row>
    <row r="142" spans="1:65" ht="16.5" customHeight="1" outlineLevel="2" x14ac:dyDescent="0.2">
      <c r="A142" s="133"/>
      <c r="B142" s="197" t="s">
        <v>215</v>
      </c>
      <c r="C142" s="208" t="s">
        <v>139</v>
      </c>
      <c r="D142" s="702"/>
      <c r="E142" s="210">
        <v>0</v>
      </c>
      <c r="F142" s="210">
        <v>0</v>
      </c>
      <c r="G142" s="211" t="s">
        <v>209</v>
      </c>
      <c r="H142" s="212">
        <f>E142*VLOOKUP($C142,Données!$B$282:$G$291,3,FALSE())*E$18</f>
        <v>0</v>
      </c>
      <c r="I142" s="212">
        <f>F142*VLOOKUP($C142,Données!$B$282:$G$291,5,FALSE())*F$18</f>
        <v>0</v>
      </c>
      <c r="J142" s="212" t="b">
        <f>IF(J$129&gt;0,IF(J$129&gt;VLOOKUP($C142,Données!$B$282:$G$291,6,FALSE()),"",F142*F$18*VLOOKUP($C142,Données!$B$282:$G$291,3,FALSE())*(1-J$129/VLOOKUP($C142,Données!$B$282:$G$291,6,FALSE()))))</f>
        <v>0</v>
      </c>
      <c r="K142" s="214"/>
      <c r="L142" s="143"/>
      <c r="M142" s="143"/>
      <c r="N142" s="143"/>
      <c r="O142" s="143"/>
      <c r="P142" s="143"/>
      <c r="Q142" s="143"/>
      <c r="R142" s="143"/>
      <c r="S142" s="143"/>
      <c r="T142" s="143"/>
      <c r="U142" s="141"/>
      <c r="V142" s="141"/>
      <c r="W142" s="141"/>
      <c r="X142" s="141"/>
      <c r="Y142" s="141"/>
      <c r="Z142" s="141"/>
      <c r="AA142" s="141"/>
      <c r="AB142" s="141"/>
      <c r="AC142" s="141"/>
      <c r="AD142" s="141"/>
      <c r="AE142" s="141"/>
      <c r="AF142" s="141"/>
      <c r="AG142" s="141"/>
      <c r="AH142" s="141"/>
      <c r="AI142" s="141"/>
      <c r="AJ142" s="141"/>
      <c r="AK142" s="141"/>
      <c r="AL142" s="141"/>
      <c r="AM142" s="141"/>
      <c r="AN142" s="141"/>
      <c r="AO142" s="141"/>
      <c r="AP142" s="141"/>
      <c r="AQ142" s="141"/>
      <c r="AR142" s="141"/>
      <c r="AS142" s="141"/>
      <c r="AT142" s="141"/>
      <c r="AU142" s="141"/>
      <c r="AV142" s="141"/>
      <c r="AW142" s="141"/>
      <c r="AX142" s="141"/>
      <c r="AY142" s="141"/>
      <c r="AZ142" s="141"/>
      <c r="BA142" s="141"/>
      <c r="BB142" s="141"/>
      <c r="BC142" s="141"/>
      <c r="BD142" s="141"/>
      <c r="BE142" s="141"/>
      <c r="BF142" s="141"/>
      <c r="BG142" s="141"/>
      <c r="BH142" s="141"/>
      <c r="BI142" s="141"/>
      <c r="BJ142" s="141"/>
      <c r="BK142" s="141"/>
      <c r="BL142" s="141"/>
      <c r="BM142" s="141"/>
    </row>
    <row r="143" spans="1:65" ht="16.5" customHeight="1" outlineLevel="2" x14ac:dyDescent="0.2">
      <c r="A143" s="133"/>
      <c r="B143" s="215" t="str">
        <f>IF(SUM(E142:E143)&gt;1,"somme &gt; 100%","")</f>
        <v/>
      </c>
      <c r="C143" s="208" t="s">
        <v>139</v>
      </c>
      <c r="D143" s="702"/>
      <c r="E143" s="210"/>
      <c r="F143" s="210"/>
      <c r="G143" s="211" t="str">
        <f>IF(C143="-","",G142)</f>
        <v/>
      </c>
      <c r="H143" s="212" t="str">
        <f>IF(E143="","",E143*VLOOKUP($C143,Données!$B$282:$G$291,3,FALSE())*E$18)</f>
        <v/>
      </c>
      <c r="I143" s="212" t="str">
        <f>IF(F143="","",F143*VLOOKUP($C143,Données!$B$282:$G$291,5,FALSE())*F$18)</f>
        <v/>
      </c>
      <c r="J143" s="212" t="b">
        <f>IF(J$129&gt;0,IF($E143="","",IF(J$129&gt;VLOOKUP($C143,Données!$B$282:$G$291,6,FALSE()),"",E143*F$18*VLOOKUP($C143,Données!$B$282:$G$291,3,FALSE())*(1-J$129/VLOOKUP($C143,Données!$B$282:$G$291,6,FALSE())))))</f>
        <v>0</v>
      </c>
      <c r="K143" s="214"/>
      <c r="L143" s="143"/>
      <c r="M143" s="143"/>
      <c r="N143" s="143"/>
      <c r="O143" s="143"/>
      <c r="P143" s="143"/>
      <c r="Q143" s="143"/>
      <c r="R143" s="143"/>
      <c r="S143" s="143"/>
      <c r="T143" s="143"/>
      <c r="U143" s="141"/>
      <c r="V143" s="141"/>
      <c r="W143" s="141"/>
      <c r="X143" s="141"/>
      <c r="Y143" s="141"/>
      <c r="Z143" s="141"/>
      <c r="AA143" s="141"/>
      <c r="AB143" s="141"/>
      <c r="AC143" s="141"/>
      <c r="AD143" s="141"/>
      <c r="AE143" s="141"/>
      <c r="AF143" s="141"/>
      <c r="AG143" s="141"/>
      <c r="AH143" s="141"/>
      <c r="AI143" s="141"/>
      <c r="AJ143" s="141"/>
      <c r="AK143" s="141"/>
      <c r="AL143" s="141"/>
      <c r="AM143" s="141"/>
      <c r="AN143" s="141"/>
      <c r="AO143" s="141"/>
      <c r="AP143" s="141"/>
      <c r="AQ143" s="141"/>
      <c r="AR143" s="141"/>
      <c r="AS143" s="141"/>
      <c r="AT143" s="141"/>
      <c r="AU143" s="141"/>
      <c r="AV143" s="141"/>
      <c r="AW143" s="141"/>
      <c r="AX143" s="141"/>
      <c r="AY143" s="141"/>
      <c r="AZ143" s="141"/>
      <c r="BA143" s="141"/>
      <c r="BB143" s="141"/>
      <c r="BC143" s="141"/>
      <c r="BD143" s="141"/>
      <c r="BE143" s="141"/>
      <c r="BF143" s="141"/>
      <c r="BG143" s="141"/>
      <c r="BH143" s="141"/>
      <c r="BI143" s="141"/>
      <c r="BJ143" s="141"/>
      <c r="BK143" s="141"/>
      <c r="BL143" s="141"/>
      <c r="BM143" s="141"/>
    </row>
    <row r="144" spans="1:65" ht="5.25" customHeight="1" outlineLevel="2" x14ac:dyDescent="0.2">
      <c r="A144" s="133"/>
      <c r="B144" s="204"/>
      <c r="C144" s="233"/>
      <c r="D144" s="205"/>
      <c r="E144" s="206"/>
      <c r="F144" s="206"/>
      <c r="G144" s="207"/>
      <c r="H144" s="234"/>
      <c r="I144" s="234"/>
      <c r="J144" s="235"/>
      <c r="K144" s="144"/>
      <c r="L144" s="143"/>
      <c r="M144" s="143"/>
      <c r="N144" s="143"/>
      <c r="O144" s="143"/>
      <c r="P144" s="143"/>
      <c r="Q144" s="143"/>
      <c r="R144" s="143"/>
      <c r="S144" s="143"/>
      <c r="T144" s="143"/>
      <c r="U144" s="141"/>
      <c r="V144" s="141"/>
      <c r="W144" s="141"/>
      <c r="X144" s="141"/>
      <c r="Y144" s="141"/>
      <c r="Z144" s="141"/>
      <c r="AA144" s="141"/>
      <c r="AB144" s="141"/>
      <c r="AC144" s="141"/>
      <c r="AD144" s="141"/>
      <c r="AE144" s="141"/>
      <c r="AF144" s="141"/>
      <c r="AG144" s="141"/>
      <c r="AH144" s="141"/>
      <c r="AI144" s="141"/>
      <c r="AJ144" s="141"/>
      <c r="AK144" s="141"/>
      <c r="AL144" s="141"/>
      <c r="AM144" s="141"/>
      <c r="AN144" s="141"/>
      <c r="AO144" s="141"/>
      <c r="AP144" s="141"/>
      <c r="AQ144" s="141"/>
      <c r="AR144" s="141"/>
      <c r="AS144" s="141"/>
      <c r="AT144" s="141"/>
      <c r="AU144" s="141"/>
      <c r="AV144" s="141"/>
      <c r="AW144" s="141"/>
      <c r="AX144" s="141"/>
      <c r="AY144" s="141"/>
      <c r="AZ144" s="141"/>
      <c r="BA144" s="141"/>
      <c r="BB144" s="141"/>
      <c r="BC144" s="141"/>
      <c r="BD144" s="141"/>
      <c r="BE144" s="141"/>
      <c r="BF144" s="141"/>
      <c r="BG144" s="141"/>
      <c r="BH144" s="141"/>
      <c r="BI144" s="141"/>
      <c r="BJ144" s="141"/>
      <c r="BK144" s="141"/>
      <c r="BL144" s="141"/>
      <c r="BM144" s="141"/>
    </row>
    <row r="145" spans="1:65" ht="16.5" customHeight="1" outlineLevel="2" x14ac:dyDescent="0.2">
      <c r="A145" s="133"/>
      <c r="B145" s="197" t="s">
        <v>216</v>
      </c>
      <c r="C145" s="208" t="s">
        <v>139</v>
      </c>
      <c r="D145" s="702"/>
      <c r="E145" s="1">
        <v>0</v>
      </c>
      <c r="F145" s="1">
        <v>0</v>
      </c>
      <c r="G145" s="211" t="s">
        <v>217</v>
      </c>
      <c r="H145" s="212">
        <f>E145*VLOOKUP($C145,Données!$B$292:$G$297,3,FALSE())</f>
        <v>0</v>
      </c>
      <c r="I145" s="212">
        <f>F145*VLOOKUP($C145,Données!$B$292:$G$297,5,FALSE())</f>
        <v>0</v>
      </c>
      <c r="J145" s="212" t="b">
        <f>IF(J$129&gt;0,IF(J$129&gt;VLOOKUP($C145,Données!$B$292:$G$297,6,FALSE()),"",F145*VLOOKUP($C145,Données!$B$292:$G$297,3,FALSE())*(1-J$129/VLOOKUP($C145,Données!$B$292:$G$297,6,FALSE()))))</f>
        <v>0</v>
      </c>
      <c r="K145" s="176"/>
      <c r="L145" s="143"/>
      <c r="M145" s="143"/>
      <c r="N145" s="143"/>
      <c r="O145" s="143"/>
      <c r="P145" s="143"/>
      <c r="Q145" s="143"/>
      <c r="R145" s="143"/>
      <c r="S145" s="143"/>
      <c r="T145" s="143"/>
      <c r="U145" s="141"/>
      <c r="V145" s="141"/>
      <c r="W145" s="141"/>
      <c r="X145" s="141"/>
      <c r="Y145" s="141"/>
      <c r="Z145" s="141"/>
      <c r="AA145" s="141"/>
      <c r="AB145" s="141"/>
      <c r="AC145" s="141"/>
      <c r="AD145" s="141"/>
      <c r="AE145" s="141"/>
      <c r="AF145" s="141"/>
      <c r="AG145" s="141"/>
      <c r="AH145" s="141"/>
      <c r="AI145" s="141"/>
      <c r="AJ145" s="141"/>
      <c r="AK145" s="141"/>
      <c r="AL145" s="141"/>
      <c r="AM145" s="141"/>
      <c r="AN145" s="141"/>
      <c r="AO145" s="141"/>
      <c r="AP145" s="141"/>
      <c r="AQ145" s="141"/>
      <c r="AR145" s="141"/>
      <c r="AS145" s="141"/>
      <c r="AT145" s="141"/>
      <c r="AU145" s="141"/>
      <c r="AV145" s="141"/>
      <c r="AW145" s="141"/>
      <c r="AX145" s="141"/>
      <c r="AY145" s="141"/>
      <c r="AZ145" s="141"/>
      <c r="BA145" s="141"/>
      <c r="BB145" s="141"/>
      <c r="BC145" s="141"/>
      <c r="BD145" s="141"/>
      <c r="BE145" s="141"/>
      <c r="BF145" s="141"/>
      <c r="BG145" s="141"/>
      <c r="BH145" s="141"/>
      <c r="BI145" s="141"/>
      <c r="BJ145" s="141"/>
      <c r="BK145" s="141"/>
      <c r="BL145" s="141"/>
      <c r="BM145" s="141"/>
    </row>
    <row r="146" spans="1:65" ht="16.5" customHeight="1" outlineLevel="2" x14ac:dyDescent="0.2">
      <c r="A146" s="133"/>
      <c r="B146" s="197"/>
      <c r="C146" s="208" t="s">
        <v>139</v>
      </c>
      <c r="D146" s="702"/>
      <c r="E146" s="1"/>
      <c r="F146" s="1"/>
      <c r="G146" s="211" t="str">
        <f>IF(C146="-","",G145)</f>
        <v/>
      </c>
      <c r="H146" s="212" t="str">
        <f>IF(E146="","",E146*VLOOKUP($C146,Données!$B$292:$G$297,3,FALSE()))</f>
        <v/>
      </c>
      <c r="I146" s="212" t="str">
        <f>IF(F146="","",F146*VLOOKUP($C146,Données!$B$292:$G$297,5,FALSE()))</f>
        <v/>
      </c>
      <c r="J146" s="212" t="b">
        <f>IF(J$129&gt;0,IF($E146="","",IF(J$129&gt;VLOOKUP($C146,Données!$B$292:$G$297,6,FALSE()),"",E146*VLOOKUP($C146,Données!$B$292:$G$297,3,FALSE())*(1-J$129/VLOOKUP($C146,Données!$B$292:$G$297,6,FALSE())))))</f>
        <v>0</v>
      </c>
      <c r="K146" s="176"/>
      <c r="L146" s="141"/>
      <c r="M146" s="141"/>
      <c r="N146" s="141"/>
      <c r="O146" s="141"/>
      <c r="P146" s="141"/>
      <c r="Q146" s="141"/>
      <c r="R146" s="141"/>
      <c r="S146" s="141"/>
      <c r="T146" s="141"/>
      <c r="U146" s="141"/>
      <c r="V146" s="141"/>
      <c r="W146" s="141"/>
      <c r="X146" s="141"/>
      <c r="Y146" s="141"/>
      <c r="Z146" s="141"/>
      <c r="AA146" s="141"/>
      <c r="AB146" s="141"/>
      <c r="AC146" s="141"/>
      <c r="AD146" s="141"/>
      <c r="AE146" s="141"/>
      <c r="AF146" s="141"/>
      <c r="AG146" s="141"/>
      <c r="AH146" s="141"/>
      <c r="AI146" s="141"/>
      <c r="AJ146" s="141"/>
      <c r="AK146" s="141"/>
      <c r="AL146" s="141"/>
      <c r="AM146" s="141"/>
      <c r="AN146" s="141"/>
      <c r="AO146" s="141"/>
      <c r="AP146" s="141"/>
      <c r="AQ146" s="141"/>
      <c r="AR146" s="141"/>
      <c r="AS146" s="141"/>
      <c r="AT146" s="141"/>
      <c r="AU146" s="141"/>
      <c r="AV146" s="141"/>
      <c r="AW146" s="141"/>
      <c r="AX146" s="141"/>
      <c r="AY146" s="141"/>
      <c r="AZ146" s="141"/>
      <c r="BA146" s="141"/>
      <c r="BB146" s="141"/>
      <c r="BC146" s="141"/>
      <c r="BD146" s="141"/>
      <c r="BE146" s="141"/>
      <c r="BF146" s="141"/>
      <c r="BG146" s="141"/>
      <c r="BH146" s="141"/>
      <c r="BI146" s="141"/>
      <c r="BJ146" s="141"/>
      <c r="BK146" s="141"/>
      <c r="BL146" s="141"/>
      <c r="BM146" s="141"/>
    </row>
    <row r="147" spans="1:65" ht="5.25" customHeight="1" outlineLevel="2" x14ac:dyDescent="0.2">
      <c r="A147" s="133"/>
      <c r="B147" s="204"/>
      <c r="C147" s="233"/>
      <c r="D147" s="205"/>
      <c r="E147" s="206"/>
      <c r="F147" s="206"/>
      <c r="G147" s="207"/>
      <c r="H147" s="234"/>
      <c r="I147" s="234"/>
      <c r="J147" s="235"/>
      <c r="K147" s="141"/>
      <c r="L147" s="141"/>
      <c r="M147" s="141"/>
      <c r="N147" s="141"/>
      <c r="O147" s="141"/>
      <c r="P147" s="141"/>
      <c r="Q147" s="141"/>
      <c r="R147" s="141"/>
      <c r="S147" s="141"/>
      <c r="T147" s="141"/>
      <c r="U147" s="141"/>
      <c r="V147" s="141"/>
      <c r="W147" s="141"/>
      <c r="X147" s="141"/>
      <c r="Y147" s="141"/>
      <c r="Z147" s="141"/>
      <c r="AA147" s="141"/>
      <c r="AB147" s="141"/>
      <c r="AC147" s="141"/>
      <c r="AD147" s="141"/>
      <c r="AE147" s="141"/>
      <c r="AF147" s="141"/>
      <c r="AG147" s="141"/>
      <c r="AH147" s="141"/>
      <c r="AI147" s="141"/>
      <c r="AJ147" s="141"/>
      <c r="AK147" s="141"/>
      <c r="AL147" s="141"/>
      <c r="AM147" s="141"/>
      <c r="AN147" s="141"/>
      <c r="AO147" s="141"/>
      <c r="AP147" s="141"/>
      <c r="AQ147" s="141"/>
      <c r="AR147" s="141"/>
      <c r="AS147" s="141"/>
      <c r="AT147" s="141"/>
      <c r="AU147" s="141"/>
      <c r="AV147" s="141"/>
      <c r="AW147" s="141"/>
      <c r="AX147" s="141"/>
    </row>
    <row r="148" spans="1:65" ht="16.5" customHeight="1" outlineLevel="2" x14ac:dyDescent="0.2">
      <c r="A148" s="133"/>
      <c r="B148" s="197" t="s">
        <v>171</v>
      </c>
      <c r="C148" s="236" t="s">
        <v>172</v>
      </c>
      <c r="D148" s="209"/>
      <c r="E148" s="1">
        <v>0</v>
      </c>
      <c r="F148" s="1">
        <v>0</v>
      </c>
      <c r="G148" s="211" t="str">
        <f>CONCATENATE("kgCO2e / ",G149)</f>
        <v>kgCO2e / unité</v>
      </c>
      <c r="H148" s="705">
        <f>E148*E149</f>
        <v>0</v>
      </c>
      <c r="I148" s="705">
        <f>F148*F149</f>
        <v>0</v>
      </c>
      <c r="J148" s="706"/>
      <c r="K148" s="141"/>
      <c r="L148" s="141"/>
      <c r="M148" s="141"/>
      <c r="N148" s="141"/>
      <c r="O148" s="141"/>
      <c r="P148" s="141"/>
      <c r="Q148" s="141"/>
      <c r="R148" s="141"/>
      <c r="S148" s="141"/>
      <c r="T148" s="141"/>
      <c r="U148" s="141"/>
      <c r="V148" s="141"/>
      <c r="W148" s="141"/>
      <c r="X148" s="141"/>
      <c r="Y148" s="141"/>
      <c r="Z148" s="141"/>
      <c r="AA148" s="141"/>
      <c r="AB148" s="141"/>
      <c r="AC148" s="141"/>
      <c r="AD148" s="141"/>
      <c r="AE148" s="141"/>
      <c r="AF148" s="141"/>
      <c r="AG148" s="141"/>
      <c r="AH148" s="141"/>
      <c r="AI148" s="141"/>
      <c r="AJ148" s="141"/>
      <c r="AK148" s="141"/>
      <c r="AL148" s="141"/>
      <c r="AM148" s="141"/>
      <c r="AN148" s="141"/>
      <c r="AO148" s="141"/>
      <c r="AP148" s="141"/>
      <c r="AQ148" s="141"/>
      <c r="AR148" s="141"/>
      <c r="AS148" s="141"/>
      <c r="AT148" s="141"/>
      <c r="AU148" s="141"/>
      <c r="AV148" s="141"/>
      <c r="AW148" s="141"/>
      <c r="AX148" s="141"/>
    </row>
    <row r="149" spans="1:65" ht="16.5" customHeight="1" outlineLevel="2" x14ac:dyDescent="0.2">
      <c r="A149" s="133"/>
      <c r="B149" s="237" t="s">
        <v>173</v>
      </c>
      <c r="C149" s="236" t="s">
        <v>174</v>
      </c>
      <c r="D149" s="209"/>
      <c r="E149" s="1">
        <v>0</v>
      </c>
      <c r="F149" s="1">
        <v>0</v>
      </c>
      <c r="G149" s="238" t="s">
        <v>175</v>
      </c>
      <c r="H149" s="705"/>
      <c r="I149" s="705"/>
      <c r="J149" s="706"/>
      <c r="K149" s="141"/>
      <c r="L149" s="141"/>
      <c r="M149" s="141"/>
      <c r="N149" s="141"/>
      <c r="O149" s="141"/>
      <c r="P149" s="141"/>
      <c r="Q149" s="141"/>
      <c r="R149" s="141"/>
      <c r="S149" s="141"/>
      <c r="T149" s="141"/>
      <c r="U149" s="141"/>
      <c r="V149" s="141"/>
      <c r="W149" s="141"/>
      <c r="X149" s="141"/>
      <c r="Y149" s="141"/>
      <c r="Z149" s="141"/>
      <c r="AA149" s="141"/>
      <c r="AB149" s="141"/>
      <c r="AC149" s="141"/>
      <c r="AD149" s="141"/>
      <c r="AE149" s="141"/>
      <c r="AF149" s="141"/>
      <c r="AG149" s="141"/>
      <c r="AH149" s="141"/>
      <c r="AI149" s="141"/>
      <c r="AJ149" s="141"/>
      <c r="AK149" s="141"/>
      <c r="AL149" s="141"/>
      <c r="AM149" s="141"/>
      <c r="AN149" s="141"/>
      <c r="AO149" s="141"/>
      <c r="AP149" s="141"/>
      <c r="AQ149" s="141"/>
      <c r="AR149" s="141"/>
      <c r="AS149" s="141"/>
      <c r="AT149" s="141"/>
      <c r="AU149" s="141"/>
      <c r="AV149" s="141"/>
      <c r="AW149" s="141"/>
      <c r="AX149" s="141"/>
    </row>
    <row r="150" spans="1:65" ht="13.5" outlineLevel="1" x14ac:dyDescent="0.2">
      <c r="A150" s="133"/>
      <c r="B150" s="248"/>
      <c r="C150" s="178"/>
      <c r="D150" s="178"/>
      <c r="E150" s="179"/>
      <c r="F150" s="179"/>
      <c r="G150" s="217"/>
      <c r="H150" s="179"/>
      <c r="I150" s="179"/>
      <c r="J150" s="179"/>
      <c r="K150" s="144"/>
      <c r="L150" s="141"/>
      <c r="M150" s="141"/>
      <c r="N150" s="141"/>
      <c r="O150" s="141"/>
      <c r="P150" s="141"/>
      <c r="Q150" s="141"/>
      <c r="R150" s="141"/>
      <c r="S150" s="141"/>
      <c r="T150" s="141"/>
      <c r="U150" s="141"/>
      <c r="V150" s="141"/>
      <c r="W150" s="141"/>
      <c r="X150" s="141"/>
      <c r="Y150" s="141"/>
      <c r="Z150" s="141"/>
      <c r="AA150" s="141"/>
      <c r="AB150" s="141"/>
      <c r="AC150" s="141"/>
      <c r="AD150" s="141"/>
      <c r="AE150" s="141"/>
      <c r="AF150" s="141"/>
      <c r="AG150" s="141"/>
      <c r="AH150" s="141"/>
      <c r="AI150" s="141"/>
      <c r="AJ150" s="141"/>
      <c r="AK150" s="141"/>
      <c r="AL150" s="141"/>
      <c r="AM150" s="141"/>
      <c r="AN150" s="141"/>
      <c r="AO150" s="141"/>
      <c r="AP150" s="141"/>
      <c r="AQ150" s="141"/>
      <c r="AR150" s="141"/>
      <c r="AS150" s="141"/>
      <c r="AT150" s="141"/>
      <c r="AU150" s="141"/>
      <c r="AV150" s="141"/>
      <c r="AW150" s="141"/>
      <c r="AX150" s="141"/>
      <c r="AY150" s="141"/>
      <c r="AZ150" s="141"/>
      <c r="BA150" s="141"/>
      <c r="BB150" s="141"/>
      <c r="BC150" s="141"/>
      <c r="BD150" s="141"/>
      <c r="BE150" s="141"/>
      <c r="BF150" s="141"/>
      <c r="BG150" s="141"/>
      <c r="BH150" s="141"/>
      <c r="BI150" s="141"/>
      <c r="BJ150" s="141"/>
      <c r="BK150" s="141"/>
      <c r="BL150" s="141"/>
      <c r="BM150" s="141"/>
    </row>
    <row r="151" spans="1:65" ht="16.5" customHeight="1" outlineLevel="1" x14ac:dyDescent="0.2">
      <c r="A151" s="133"/>
      <c r="B151" s="218" t="s">
        <v>218</v>
      </c>
      <c r="C151" s="192"/>
      <c r="D151" s="192" t="s">
        <v>219</v>
      </c>
      <c r="E151" s="193"/>
      <c r="F151" s="193"/>
      <c r="G151" s="219"/>
      <c r="H151" s="195"/>
      <c r="I151" s="220" t="s">
        <v>146</v>
      </c>
      <c r="J151" s="241">
        <f>IF(PROJET!E$31&gt;1,IF(PROJET!$D$15-MAX(PROJET!$D$16,PROJET!$D$32,0)&lt;101,PROJET!$D$15-MAX(PROJET!$D$16,PROJET!$D$32,0),""),J$75)</f>
        <v>0</v>
      </c>
      <c r="K151" s="196"/>
      <c r="L151" s="141"/>
      <c r="M151" s="141"/>
      <c r="N151" s="141"/>
      <c r="O151" s="141"/>
      <c r="P151" s="141"/>
      <c r="Q151" s="141"/>
      <c r="R151" s="141"/>
      <c r="S151" s="141"/>
      <c r="T151" s="141"/>
      <c r="U151" s="141"/>
      <c r="V151" s="141"/>
      <c r="W151" s="141"/>
      <c r="X151" s="141"/>
      <c r="Y151" s="141"/>
      <c r="Z151" s="141"/>
      <c r="AA151" s="141"/>
      <c r="AB151" s="141"/>
      <c r="AC151" s="141"/>
      <c r="AD151" s="141"/>
      <c r="AE151" s="141"/>
      <c r="AF151" s="141"/>
      <c r="AG151" s="141"/>
      <c r="AH151" s="141"/>
      <c r="AI151" s="141"/>
      <c r="AJ151" s="141"/>
      <c r="AK151" s="141"/>
      <c r="AL151" s="141"/>
      <c r="AM151" s="141"/>
      <c r="AN151" s="141"/>
      <c r="AO151" s="141"/>
      <c r="AP151" s="141"/>
      <c r="AQ151" s="141"/>
      <c r="AR151" s="141"/>
      <c r="AS151" s="141"/>
      <c r="AT151" s="141"/>
      <c r="AU151" s="141"/>
      <c r="AV151" s="141"/>
      <c r="AW151" s="141"/>
      <c r="AX151" s="141"/>
      <c r="AY151" s="141"/>
      <c r="AZ151" s="141"/>
      <c r="BA151" s="141"/>
      <c r="BB151" s="141"/>
      <c r="BC151" s="141"/>
      <c r="BD151" s="141"/>
      <c r="BE151" s="141"/>
      <c r="BF151" s="141"/>
      <c r="BG151" s="141"/>
      <c r="BH151" s="141"/>
      <c r="BI151" s="141"/>
      <c r="BJ151" s="141"/>
      <c r="BK151" s="141"/>
      <c r="BL151" s="141"/>
      <c r="BM151" s="141"/>
    </row>
    <row r="152" spans="1:65" ht="16.5" customHeight="1" outlineLevel="2" x14ac:dyDescent="0.2">
      <c r="A152" s="133" t="s">
        <v>220</v>
      </c>
      <c r="B152" s="197" t="s">
        <v>221</v>
      </c>
      <c r="C152" s="249" t="s">
        <v>139</v>
      </c>
      <c r="D152" s="198"/>
      <c r="E152" s="256">
        <f>E$18</f>
        <v>0</v>
      </c>
      <c r="F152" s="256">
        <f>F$18</f>
        <v>0</v>
      </c>
      <c r="G152" s="222" t="s">
        <v>222</v>
      </c>
      <c r="H152" s="201">
        <f>IF(E$18&gt;0,E152/E$18*(VLOOKUP($C152,Données!$B$300:$G$303,3,FALSE())*(E$15+E$16)+VLOOKUP($C152,Données!$B$310:$G$313,3,FALSE())*E$17),0)</f>
        <v>0</v>
      </c>
      <c r="I152" s="201">
        <f>IF(F$18&gt;0,F152/F$18*(VLOOKUP($C152,Données!$B$300:$G$303,5,FALSE())*(F$15+F$16)+VLOOKUP($C152,Données!$B$310:$G$313,5,FALSE())*F$17),0)</f>
        <v>0</v>
      </c>
      <c r="J152" s="201" t="b">
        <f>IF(J$151&gt;0,IF(J$151&gt;VLOOKUP($C152,Données!$B$300:$G$303,6,FALSE()),"",F152*VLOOKUP($C152,Données!$B$300:$G$303,3,FALSE())*(1-J$151/VLOOKUP($C152,Données!$B$300:$G$303,6,FALSE()))))</f>
        <v>0</v>
      </c>
      <c r="K152" s="251"/>
      <c r="L152" s="141"/>
      <c r="M152" s="141"/>
      <c r="N152" s="141"/>
      <c r="O152" s="141"/>
      <c r="P152" s="141"/>
      <c r="Q152" s="141"/>
      <c r="R152" s="141"/>
      <c r="S152" s="141"/>
      <c r="T152" s="141"/>
      <c r="U152" s="141"/>
      <c r="V152" s="141"/>
      <c r="W152" s="141"/>
      <c r="X152" s="141"/>
      <c r="Y152" s="141"/>
      <c r="Z152" s="141"/>
      <c r="AA152" s="141"/>
      <c r="AB152" s="141"/>
      <c r="AC152" s="141"/>
      <c r="AD152" s="141"/>
      <c r="AE152" s="141"/>
      <c r="AF152" s="141"/>
      <c r="AG152" s="141"/>
      <c r="AH152" s="141"/>
      <c r="AI152" s="141"/>
      <c r="AJ152" s="141"/>
      <c r="AK152" s="141"/>
      <c r="AL152" s="141"/>
      <c r="AM152" s="141"/>
      <c r="AN152" s="141"/>
      <c r="AO152" s="141"/>
      <c r="AP152" s="141"/>
      <c r="AQ152" s="141"/>
      <c r="AR152" s="141"/>
      <c r="AS152" s="141"/>
      <c r="AT152" s="141"/>
      <c r="AU152" s="141"/>
      <c r="AV152" s="141"/>
      <c r="AW152" s="141"/>
      <c r="AX152" s="141"/>
      <c r="AY152" s="141"/>
      <c r="AZ152" s="141"/>
      <c r="BA152" s="141"/>
      <c r="BB152" s="141"/>
      <c r="BC152" s="141"/>
      <c r="BD152" s="141"/>
      <c r="BE152" s="141"/>
      <c r="BF152" s="141"/>
      <c r="BG152" s="141"/>
      <c r="BH152" s="141"/>
      <c r="BI152" s="141"/>
      <c r="BJ152" s="141"/>
      <c r="BK152" s="141"/>
      <c r="BL152" s="141"/>
      <c r="BM152" s="141"/>
    </row>
    <row r="153" spans="1:65" ht="16.5" customHeight="1" outlineLevel="2" x14ac:dyDescent="0.2">
      <c r="A153" s="133"/>
      <c r="B153" s="197"/>
      <c r="C153" s="257" t="s">
        <v>223</v>
      </c>
      <c r="D153" s="209"/>
      <c r="E153" s="258">
        <f>E$18</f>
        <v>0</v>
      </c>
      <c r="F153" s="258">
        <f>F$18</f>
        <v>0</v>
      </c>
      <c r="G153" s="211" t="s">
        <v>222</v>
      </c>
      <c r="H153" s="243">
        <f>IF(E$18&gt;0,E153/E$18*(Données!D304*(E$15+E$16)+Données!D314*E$17),0)</f>
        <v>0</v>
      </c>
      <c r="I153" s="243">
        <f>IF(F$18&gt;0,F153/F$18*(Données!F304*(F$15+F$16)+Données!F314*F$17),0)</f>
        <v>0</v>
      </c>
      <c r="J153" s="212" t="b">
        <f>IF(J$151&gt;0,IF(J$151&gt;Données!G304,"",F153*Données!D304*(1-J$151/Données!G304)))</f>
        <v>0</v>
      </c>
      <c r="K153" s="214"/>
      <c r="L153" s="141"/>
      <c r="M153" s="141"/>
      <c r="N153" s="141"/>
      <c r="O153" s="141"/>
      <c r="P153" s="141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  <c r="AA153" s="141"/>
      <c r="AB153" s="141"/>
      <c r="AC153" s="141"/>
      <c r="AD153" s="141"/>
      <c r="AE153" s="141"/>
      <c r="AF153" s="141"/>
      <c r="AG153" s="141"/>
      <c r="AH153" s="141"/>
      <c r="AI153" s="141"/>
      <c r="AJ153" s="141"/>
      <c r="AK153" s="141"/>
      <c r="AL153" s="141"/>
      <c r="AM153" s="141"/>
      <c r="AN153" s="141"/>
      <c r="AO153" s="141"/>
      <c r="AP153" s="141"/>
      <c r="AQ153" s="141"/>
      <c r="AR153" s="141"/>
      <c r="AS153" s="141"/>
      <c r="AT153" s="141"/>
      <c r="AU153" s="141"/>
      <c r="AV153" s="141"/>
      <c r="AW153" s="141"/>
      <c r="AX153" s="141"/>
      <c r="AY153" s="141"/>
      <c r="AZ153" s="141"/>
      <c r="BA153" s="141"/>
      <c r="BB153" s="141"/>
      <c r="BC153" s="141"/>
      <c r="BD153" s="141"/>
      <c r="BE153" s="141"/>
      <c r="BF153" s="141"/>
      <c r="BG153" s="141"/>
      <c r="BH153" s="141"/>
      <c r="BI153" s="141"/>
      <c r="BJ153" s="141"/>
      <c r="BK153" s="141"/>
      <c r="BL153" s="141"/>
      <c r="BM153" s="141"/>
    </row>
    <row r="154" spans="1:65" ht="16.5" customHeight="1" outlineLevel="2" x14ac:dyDescent="0.2">
      <c r="A154" s="133"/>
      <c r="B154" s="197"/>
      <c r="C154" s="257" t="s">
        <v>224</v>
      </c>
      <c r="D154" s="209"/>
      <c r="E154" s="259">
        <v>0</v>
      </c>
      <c r="F154" s="259">
        <v>0</v>
      </c>
      <c r="G154" s="211" t="s">
        <v>225</v>
      </c>
      <c r="H154" s="212">
        <f>E154*Données!D305</f>
        <v>0</v>
      </c>
      <c r="I154" s="212">
        <f>F154*Données!F305</f>
        <v>0</v>
      </c>
      <c r="J154" s="212" t="b">
        <f>IF(J$151&gt;0,IF(J$151&gt;Données!G305,"",F154*Données!D305*(1-J$151/Données!G305)))</f>
        <v>0</v>
      </c>
      <c r="K154" s="260"/>
      <c r="L154" s="141"/>
      <c r="M154" s="141"/>
      <c r="N154" s="14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D154" s="141"/>
      <c r="AE154" s="141"/>
      <c r="AF154" s="141"/>
      <c r="AG154" s="141"/>
      <c r="AH154" s="141"/>
      <c r="AI154" s="141"/>
      <c r="AJ154" s="141"/>
      <c r="AK154" s="141"/>
      <c r="AL154" s="141"/>
      <c r="AM154" s="141"/>
      <c r="AN154" s="141"/>
      <c r="AO154" s="141"/>
      <c r="AP154" s="141"/>
      <c r="AQ154" s="141"/>
      <c r="AR154" s="141"/>
      <c r="AS154" s="141"/>
      <c r="AT154" s="141"/>
      <c r="AU154" s="141"/>
      <c r="AV154" s="141"/>
      <c r="AW154" s="141"/>
      <c r="AX154" s="141"/>
      <c r="AY154" s="141"/>
      <c r="AZ154" s="141"/>
      <c r="BA154" s="141"/>
      <c r="BB154" s="141"/>
      <c r="BC154" s="141"/>
      <c r="BD154" s="141"/>
      <c r="BE154" s="141"/>
      <c r="BF154" s="141"/>
      <c r="BG154" s="141"/>
      <c r="BH154" s="141"/>
      <c r="BI154" s="141"/>
      <c r="BJ154" s="141"/>
      <c r="BK154" s="141"/>
      <c r="BL154" s="141"/>
      <c r="BM154" s="141"/>
    </row>
    <row r="155" spans="1:65" ht="16.5" customHeight="1" outlineLevel="2" x14ac:dyDescent="0.2">
      <c r="A155" s="133"/>
      <c r="B155" s="261" t="s">
        <v>226</v>
      </c>
      <c r="C155" s="208" t="s">
        <v>139</v>
      </c>
      <c r="D155" s="209"/>
      <c r="E155" s="258">
        <f>E$18</f>
        <v>0</v>
      </c>
      <c r="F155" s="258">
        <f>F$18</f>
        <v>0</v>
      </c>
      <c r="G155" s="211" t="s">
        <v>222</v>
      </c>
      <c r="H155" s="212">
        <f>IF(E$18&gt;0,E155/E$18*(VLOOKUP($C155,Données!$B$306:$G$309,3,FALSE())*(E$15+E$16)+VLOOKUP($C155,Données!$B$315:$G$318,3,FALSE())*E$17),0)</f>
        <v>0</v>
      </c>
      <c r="I155" s="212">
        <f>IF(F$18&gt;0,F155/F$18*(VLOOKUP($C155,Données!$B$306:$G$309,5,FALSE())*(F$15+F$16)+VLOOKUP($C155,Données!$B$315:$G$318,5,FALSE())*F$17),0)</f>
        <v>0</v>
      </c>
      <c r="J155" s="212" t="b">
        <f>IF(J$151&gt;0,IF(J$151&gt;VLOOKUP($C155,Données!$B$306:$G$309,6,FALSE()),"",F155*VLOOKUP($C155,Données!$B$306:$G$309,3,FALSE())*(1-J$151/VLOOKUP($C155,Données!$B$306:$G$309,6,FALSE()))))</f>
        <v>0</v>
      </c>
      <c r="K155" s="214"/>
      <c r="L155" s="141"/>
      <c r="M155" s="141"/>
      <c r="N155" s="14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D155" s="141"/>
      <c r="AE155" s="141"/>
      <c r="AF155" s="141"/>
      <c r="AG155" s="141"/>
      <c r="AH155" s="141"/>
      <c r="AI155" s="141"/>
      <c r="AJ155" s="141"/>
      <c r="AK155" s="141"/>
      <c r="AL155" s="141"/>
      <c r="AM155" s="141"/>
      <c r="AN155" s="141"/>
      <c r="AO155" s="141"/>
      <c r="AP155" s="141"/>
      <c r="AQ155" s="141"/>
      <c r="AR155" s="141"/>
      <c r="AS155" s="141"/>
      <c r="AT155" s="141"/>
      <c r="AU155" s="141"/>
      <c r="AV155" s="141"/>
      <c r="AW155" s="141"/>
      <c r="AX155" s="141"/>
      <c r="AY155" s="141"/>
      <c r="AZ155" s="141"/>
      <c r="BA155" s="141"/>
      <c r="BB155" s="141"/>
      <c r="BC155" s="141"/>
      <c r="BD155" s="141"/>
      <c r="BE155" s="141"/>
      <c r="BF155" s="141"/>
      <c r="BG155" s="141"/>
      <c r="BH155" s="141"/>
      <c r="BI155" s="141"/>
      <c r="BJ155" s="141"/>
      <c r="BK155" s="141"/>
      <c r="BL155" s="141"/>
      <c r="BM155" s="141"/>
    </row>
    <row r="156" spans="1:65" ht="16.5" customHeight="1" outlineLevel="2" x14ac:dyDescent="0.2">
      <c r="A156" s="133"/>
      <c r="B156" s="262"/>
      <c r="C156" s="257" t="s">
        <v>227</v>
      </c>
      <c r="D156" s="209"/>
      <c r="E156" s="700">
        <v>0</v>
      </c>
      <c r="F156" s="700"/>
      <c r="G156" s="211" t="s">
        <v>228</v>
      </c>
      <c r="H156" s="212">
        <f>IF(E$18&gt;0,$E156*Données!$D$319*E$18/($E$18+$F$18),0)</f>
        <v>0</v>
      </c>
      <c r="I156" s="212">
        <f>IF(F$18&gt;0,$E156*Données!$D$319*F$18/($E$18+$F$18),0)</f>
        <v>0</v>
      </c>
      <c r="J156" s="213"/>
      <c r="K156" s="176"/>
      <c r="L156" s="141"/>
      <c r="M156" s="141"/>
      <c r="N156" s="14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D156" s="141"/>
      <c r="AE156" s="141"/>
      <c r="AF156" s="141"/>
      <c r="AG156" s="141"/>
      <c r="AH156" s="141"/>
      <c r="AI156" s="141"/>
      <c r="AJ156" s="141"/>
      <c r="AK156" s="141"/>
      <c r="AL156" s="141"/>
      <c r="AM156" s="141"/>
      <c r="AN156" s="141"/>
      <c r="AO156" s="141"/>
      <c r="AP156" s="141"/>
      <c r="AQ156" s="141"/>
      <c r="AR156" s="141"/>
      <c r="AS156" s="141"/>
      <c r="AT156" s="141"/>
      <c r="AU156" s="141"/>
      <c r="AV156" s="141"/>
      <c r="AW156" s="141"/>
      <c r="AX156" s="141"/>
      <c r="AY156" s="141"/>
      <c r="AZ156" s="141"/>
      <c r="BA156" s="141"/>
      <c r="BB156" s="141"/>
      <c r="BC156" s="141"/>
      <c r="BD156" s="141"/>
      <c r="BE156" s="141"/>
      <c r="BF156" s="141"/>
      <c r="BG156" s="141"/>
      <c r="BH156" s="141"/>
      <c r="BI156" s="141"/>
      <c r="BJ156" s="141"/>
      <c r="BK156" s="141"/>
      <c r="BL156" s="141"/>
      <c r="BM156" s="141"/>
    </row>
    <row r="157" spans="1:65" ht="5.25" customHeight="1" outlineLevel="2" x14ac:dyDescent="0.2">
      <c r="A157" s="133"/>
      <c r="B157" s="204"/>
      <c r="C157" s="233"/>
      <c r="D157" s="205"/>
      <c r="E157" s="206"/>
      <c r="F157" s="206"/>
      <c r="G157" s="207"/>
      <c r="H157" s="234"/>
      <c r="I157" s="234"/>
      <c r="J157" s="235"/>
      <c r="K157" s="144"/>
      <c r="L157" s="141"/>
      <c r="M157" s="141"/>
      <c r="N157" s="14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D157" s="141"/>
      <c r="AE157" s="141"/>
      <c r="AF157" s="141"/>
      <c r="AG157" s="141"/>
      <c r="AH157" s="141"/>
      <c r="AI157" s="141"/>
      <c r="AJ157" s="141"/>
      <c r="AK157" s="141"/>
      <c r="AL157" s="141"/>
      <c r="AM157" s="141"/>
      <c r="AN157" s="141"/>
      <c r="AO157" s="141"/>
      <c r="AP157" s="141"/>
      <c r="AQ157" s="141"/>
      <c r="AR157" s="141"/>
      <c r="AS157" s="141"/>
      <c r="AT157" s="141"/>
      <c r="AU157" s="141"/>
      <c r="AV157" s="141"/>
      <c r="AW157" s="141"/>
      <c r="AX157" s="141"/>
      <c r="AY157" s="141"/>
      <c r="AZ157" s="141"/>
      <c r="BA157" s="141"/>
      <c r="BB157" s="141"/>
      <c r="BC157" s="141"/>
      <c r="BD157" s="141"/>
      <c r="BE157" s="141"/>
      <c r="BF157" s="141"/>
      <c r="BG157" s="141"/>
      <c r="BH157" s="141"/>
      <c r="BI157" s="141"/>
      <c r="BJ157" s="141"/>
      <c r="BK157" s="141"/>
      <c r="BL157" s="141"/>
      <c r="BM157" s="141"/>
    </row>
    <row r="158" spans="1:65" ht="16.5" customHeight="1" outlineLevel="2" x14ac:dyDescent="0.2">
      <c r="A158" s="133"/>
      <c r="B158" s="197" t="s">
        <v>229</v>
      </c>
      <c r="C158" s="257" t="s">
        <v>230</v>
      </c>
      <c r="D158" s="209"/>
      <c r="E158" s="258">
        <f>E$18</f>
        <v>0</v>
      </c>
      <c r="F158" s="258">
        <f>F$18</f>
        <v>0</v>
      </c>
      <c r="G158" s="211" t="s">
        <v>222</v>
      </c>
      <c r="H158" s="243">
        <f>IF(E$18&gt;0,E158/E$18*(Données!D321*(E$15+E$16)+Données!D327*E$17),0)</f>
        <v>0</v>
      </c>
      <c r="I158" s="243">
        <f>IF(F$18&gt;0,F158/F$18*(Données!F321*(F$15+F$16)+Données!F327*F$17),0)</f>
        <v>0</v>
      </c>
      <c r="J158" s="212" t="b">
        <f>IF(J$151&gt;0,IF(J$151&gt;Données!G321,"",F158*Données!D321*(1-J$151/Données!G321)))</f>
        <v>0</v>
      </c>
      <c r="K158" s="214"/>
      <c r="L158" s="141"/>
      <c r="M158" s="141"/>
      <c r="N158" s="141"/>
      <c r="O158" s="141"/>
      <c r="P158" s="141"/>
      <c r="Q158" s="141"/>
      <c r="R158" s="141"/>
      <c r="S158" s="141"/>
      <c r="T158" s="141"/>
      <c r="U158" s="141"/>
      <c r="V158" s="141"/>
      <c r="W158" s="141"/>
      <c r="X158" s="141"/>
      <c r="Y158" s="141"/>
      <c r="Z158" s="141"/>
      <c r="AA158" s="141"/>
      <c r="AB158" s="141"/>
      <c r="AC158" s="141"/>
      <c r="AD158" s="141"/>
      <c r="AE158" s="141"/>
      <c r="AF158" s="141"/>
      <c r="AG158" s="141"/>
      <c r="AH158" s="141"/>
      <c r="AI158" s="141"/>
      <c r="AJ158" s="141"/>
      <c r="AK158" s="141"/>
      <c r="AL158" s="141"/>
      <c r="AM158" s="141"/>
      <c r="AN158" s="141"/>
      <c r="AO158" s="141"/>
      <c r="AP158" s="141"/>
      <c r="AQ158" s="141"/>
      <c r="AR158" s="141"/>
      <c r="AS158" s="141"/>
      <c r="AT158" s="141"/>
      <c r="AU158" s="141"/>
      <c r="AV158" s="141"/>
      <c r="AW158" s="141"/>
      <c r="AX158" s="141"/>
      <c r="AY158" s="141"/>
      <c r="AZ158" s="141"/>
      <c r="BA158" s="141"/>
      <c r="BB158" s="141"/>
      <c r="BC158" s="141"/>
      <c r="BD158" s="141"/>
      <c r="BE158" s="141"/>
      <c r="BF158" s="141"/>
      <c r="BG158" s="141"/>
      <c r="BH158" s="141"/>
      <c r="BI158" s="141"/>
      <c r="BJ158" s="141"/>
      <c r="BK158" s="141"/>
      <c r="BL158" s="141"/>
      <c r="BM158" s="141"/>
    </row>
    <row r="159" spans="1:65" ht="16.5" customHeight="1" outlineLevel="2" x14ac:dyDescent="0.2">
      <c r="A159" s="133"/>
      <c r="B159" s="197"/>
      <c r="C159" s="257" t="s">
        <v>231</v>
      </c>
      <c r="D159" s="209"/>
      <c r="E159" s="258">
        <v>0</v>
      </c>
      <c r="F159" s="258">
        <v>0</v>
      </c>
      <c r="G159" s="211" t="s">
        <v>232</v>
      </c>
      <c r="H159" s="243">
        <f>IF(E$18&gt;0,E159/E$18*(Données!D322*(E$15+E$16)+Données!D328*E$17),0)</f>
        <v>0</v>
      </c>
      <c r="I159" s="243">
        <f>IF(F$18&gt;0,F159/F$18*(Données!F322*(F$15+F$16)+Données!F328*F$17),0)</f>
        <v>0</v>
      </c>
      <c r="J159" s="212" t="b">
        <f>IF(J$151&gt;0,IF(J$151&gt;Données!G322,"",F159*Données!D322*(1-J$151/Données!G322)))</f>
        <v>0</v>
      </c>
      <c r="K159" s="214"/>
      <c r="L159" s="141"/>
      <c r="M159" s="141"/>
      <c r="N159" s="141"/>
      <c r="O159" s="141"/>
      <c r="P159" s="141"/>
      <c r="Q159" s="141"/>
      <c r="R159" s="141"/>
      <c r="S159" s="141"/>
      <c r="T159" s="141"/>
      <c r="U159" s="141"/>
      <c r="V159" s="141"/>
      <c r="W159" s="141"/>
      <c r="X159" s="141"/>
      <c r="Y159" s="141"/>
      <c r="Z159" s="141"/>
      <c r="AA159" s="141"/>
      <c r="AB159" s="141"/>
      <c r="AC159" s="141"/>
      <c r="AD159" s="141"/>
      <c r="AE159" s="141"/>
      <c r="AF159" s="141"/>
      <c r="AG159" s="141"/>
      <c r="AH159" s="141"/>
      <c r="AI159" s="141"/>
      <c r="AJ159" s="141"/>
      <c r="AK159" s="141"/>
      <c r="AL159" s="141"/>
      <c r="AM159" s="141"/>
      <c r="AN159" s="141"/>
      <c r="AO159" s="141"/>
      <c r="AP159" s="141"/>
      <c r="AQ159" s="141"/>
      <c r="AR159" s="141"/>
      <c r="AS159" s="141"/>
      <c r="AT159" s="141"/>
      <c r="AU159" s="141"/>
      <c r="AV159" s="141"/>
      <c r="AW159" s="141"/>
      <c r="AX159" s="141"/>
      <c r="AY159" s="141"/>
      <c r="AZ159" s="141"/>
      <c r="BA159" s="141"/>
      <c r="BB159" s="141"/>
      <c r="BC159" s="141"/>
      <c r="BD159" s="141"/>
      <c r="BE159" s="141"/>
      <c r="BF159" s="141"/>
      <c r="BG159" s="141"/>
      <c r="BH159" s="141"/>
      <c r="BI159" s="141"/>
      <c r="BJ159" s="141"/>
      <c r="BK159" s="141"/>
      <c r="BL159" s="141"/>
      <c r="BM159" s="141"/>
    </row>
    <row r="160" spans="1:65" ht="16.5" customHeight="1" outlineLevel="2" x14ac:dyDescent="0.2">
      <c r="A160" s="133"/>
      <c r="B160" s="261" t="s">
        <v>233</v>
      </c>
      <c r="C160" s="208" t="s">
        <v>139</v>
      </c>
      <c r="D160" s="209"/>
      <c r="E160" s="258">
        <f>E$18</f>
        <v>0</v>
      </c>
      <c r="F160" s="258">
        <f>F$18</f>
        <v>0</v>
      </c>
      <c r="G160" s="211" t="str">
        <f>G158</f>
        <v>m² de locaux</v>
      </c>
      <c r="H160" s="212">
        <f>IF(E$18&gt;0,E160/E$18*(VLOOKUP($C160,Données!$B$323:$G$326,3,FALSE())*(E$15+E$16)+VLOOKUP($C160,Données!$B$329:$G$332,3,FALSE())*E$17),0)</f>
        <v>0</v>
      </c>
      <c r="I160" s="212">
        <f>IF(F$18&gt;0,F160/F$18*(VLOOKUP($C160,Données!$B$323:$G$326,5,FALSE())*(F$15+F$16)+VLOOKUP($C160,Données!$B$329:$G$332,5,FALSE())*F$17),0)</f>
        <v>0</v>
      </c>
      <c r="J160" s="212" t="b">
        <f>IF(J$151&gt;0,IF(J$151&gt;VLOOKUP($C160,Données!$B$323:$G$326,6,FALSE()),"",F160*VLOOKUP($C160,Données!$B$323:$G$326,3,FALSE())*(1-J$151/VLOOKUP($C160,Données!$B$323:$G$326,6,FALSE()))))</f>
        <v>0</v>
      </c>
      <c r="K160" s="214"/>
      <c r="L160" s="141"/>
      <c r="M160" s="141"/>
      <c r="N160" s="141"/>
      <c r="O160" s="141"/>
      <c r="P160" s="141"/>
      <c r="Q160" s="141"/>
      <c r="R160" s="141"/>
      <c r="S160" s="141"/>
      <c r="T160" s="141"/>
      <c r="U160" s="141"/>
      <c r="V160" s="141"/>
      <c r="W160" s="141"/>
      <c r="X160" s="141"/>
      <c r="Y160" s="141"/>
      <c r="Z160" s="141"/>
      <c r="AA160" s="141"/>
      <c r="AB160" s="141"/>
      <c r="AC160" s="141"/>
      <c r="AD160" s="141"/>
      <c r="AE160" s="141"/>
      <c r="AF160" s="141"/>
      <c r="AG160" s="141"/>
      <c r="AH160" s="141"/>
      <c r="AI160" s="141"/>
      <c r="AJ160" s="141"/>
      <c r="AK160" s="141"/>
      <c r="AL160" s="141"/>
      <c r="AM160" s="141"/>
      <c r="AN160" s="141"/>
      <c r="AO160" s="141"/>
      <c r="AP160" s="141"/>
      <c r="AQ160" s="141"/>
      <c r="AR160" s="141"/>
      <c r="AS160" s="141"/>
      <c r="AT160" s="141"/>
      <c r="AU160" s="141"/>
      <c r="AV160" s="141"/>
      <c r="AW160" s="141"/>
      <c r="AX160" s="141"/>
    </row>
    <row r="161" spans="1:65" ht="5.25" customHeight="1" outlineLevel="2" x14ac:dyDescent="0.2">
      <c r="A161" s="133"/>
      <c r="B161" s="204"/>
      <c r="C161" s="233"/>
      <c r="D161" s="205"/>
      <c r="E161" s="206"/>
      <c r="F161" s="206"/>
      <c r="G161" s="207"/>
      <c r="H161" s="234"/>
      <c r="I161" s="234"/>
      <c r="J161" s="235"/>
      <c r="K161" s="141"/>
      <c r="L161" s="141"/>
      <c r="M161" s="141"/>
      <c r="N161" s="141"/>
      <c r="O161" s="141"/>
      <c r="P161" s="141"/>
      <c r="Q161" s="141"/>
      <c r="R161" s="141"/>
      <c r="S161" s="141"/>
      <c r="T161" s="141"/>
      <c r="U161" s="141"/>
      <c r="V161" s="141"/>
      <c r="W161" s="141"/>
      <c r="X161" s="141"/>
      <c r="Y161" s="141"/>
      <c r="Z161" s="141"/>
      <c r="AA161" s="141"/>
      <c r="AB161" s="141"/>
      <c r="AC161" s="141"/>
      <c r="AD161" s="141"/>
      <c r="AE161" s="141"/>
      <c r="AF161" s="141"/>
      <c r="AG161" s="141"/>
      <c r="AH161" s="141"/>
      <c r="AI161" s="141"/>
      <c r="AJ161" s="141"/>
      <c r="AK161" s="141"/>
      <c r="AL161" s="141"/>
      <c r="AM161" s="141"/>
      <c r="AN161" s="141"/>
      <c r="AO161" s="141"/>
      <c r="AP161" s="141"/>
      <c r="AQ161" s="141"/>
      <c r="AR161" s="141"/>
      <c r="AS161" s="141"/>
      <c r="AT161" s="141"/>
      <c r="AU161" s="141"/>
      <c r="AV161" s="141"/>
      <c r="AW161" s="141"/>
      <c r="AX161" s="141"/>
    </row>
    <row r="162" spans="1:65" ht="16.5" customHeight="1" outlineLevel="2" x14ac:dyDescent="0.2">
      <c r="A162" s="133"/>
      <c r="B162" s="197" t="s">
        <v>234</v>
      </c>
      <c r="C162" s="257" t="s">
        <v>235</v>
      </c>
      <c r="D162" s="209"/>
      <c r="E162" s="1">
        <v>0</v>
      </c>
      <c r="F162" s="1">
        <v>0</v>
      </c>
      <c r="G162" s="211" t="s">
        <v>236</v>
      </c>
      <c r="H162" s="243">
        <f>E162*Données!D333</f>
        <v>0</v>
      </c>
      <c r="I162" s="243">
        <f>F162*Données!F333</f>
        <v>0</v>
      </c>
      <c r="J162" s="212" t="b">
        <f>IF(J$151&gt;0,IF(J$151&gt;Données!G333,"",F162*Données!D333*(1-J$151/Données!G333)))</f>
        <v>0</v>
      </c>
      <c r="K162" s="176"/>
      <c r="L162" s="141"/>
      <c r="M162" s="141"/>
      <c r="N162" s="141"/>
      <c r="O162" s="141"/>
      <c r="P162" s="141"/>
      <c r="Q162" s="141"/>
      <c r="R162" s="141"/>
      <c r="S162" s="141"/>
      <c r="T162" s="141"/>
      <c r="U162" s="141"/>
      <c r="V162" s="141"/>
      <c r="W162" s="141"/>
      <c r="X162" s="141"/>
      <c r="Y162" s="141"/>
      <c r="Z162" s="141"/>
      <c r="AA162" s="141"/>
      <c r="AB162" s="141"/>
      <c r="AC162" s="141"/>
      <c r="AD162" s="141"/>
      <c r="AE162" s="141"/>
      <c r="AF162" s="141"/>
      <c r="AG162" s="141"/>
      <c r="AH162" s="141"/>
      <c r="AI162" s="141"/>
      <c r="AJ162" s="141"/>
      <c r="AK162" s="141"/>
      <c r="AL162" s="141"/>
      <c r="AM162" s="141"/>
      <c r="AN162" s="141"/>
      <c r="AO162" s="141"/>
      <c r="AP162" s="141"/>
      <c r="AQ162" s="141"/>
      <c r="AR162" s="141"/>
      <c r="AS162" s="141"/>
      <c r="AT162" s="141"/>
      <c r="AU162" s="141"/>
      <c r="AV162" s="141"/>
      <c r="AW162" s="141"/>
      <c r="AX162" s="141"/>
    </row>
    <row r="163" spans="1:65" ht="16.5" customHeight="1" outlineLevel="2" x14ac:dyDescent="0.2">
      <c r="A163" s="133"/>
      <c r="B163" s="261" t="s">
        <v>237</v>
      </c>
      <c r="C163" s="208" t="s">
        <v>139</v>
      </c>
      <c r="D163" s="209"/>
      <c r="E163" s="1">
        <v>0</v>
      </c>
      <c r="F163" s="1">
        <v>0</v>
      </c>
      <c r="G163" s="211" t="s">
        <v>238</v>
      </c>
      <c r="H163" s="212">
        <f>E163*(VLOOKUP($C163,Données!$B$334:$G$337,3,FALSE())+VLOOKUP($C163,Données!$B$334:$G$337,3,FALSE()))</f>
        <v>0</v>
      </c>
      <c r="I163" s="212">
        <f>F163*(VLOOKUP($C163,Données!$B$334:$G$337,5,FALSE())+VLOOKUP($C163,Données!$B$334:$G$337,5,FALSE()))</f>
        <v>0</v>
      </c>
      <c r="J163" s="212" t="b">
        <f>IF(J$151&gt;0,IF(J$151&gt;VLOOKUP($C163,Données!$B$334:$G$337,6,FALSE()),"",F163*VLOOKUP($C163,Données!$B$334:$G$337,3,FALSE())*(1-J$151/VLOOKUP($C163,Données!$B$334:$G$337,6,FALSE()))))</f>
        <v>0</v>
      </c>
      <c r="K163" s="176"/>
      <c r="L163" s="141"/>
      <c r="M163" s="141"/>
      <c r="N163" s="141"/>
      <c r="O163" s="141"/>
      <c r="P163" s="141"/>
      <c r="Q163" s="141"/>
      <c r="R163" s="141"/>
      <c r="S163" s="141"/>
      <c r="T163" s="141"/>
      <c r="U163" s="141"/>
      <c r="V163" s="141"/>
      <c r="W163" s="141"/>
      <c r="X163" s="141"/>
      <c r="Y163" s="141"/>
      <c r="Z163" s="141"/>
      <c r="AA163" s="141"/>
      <c r="AB163" s="141"/>
      <c r="AC163" s="141"/>
      <c r="AD163" s="141"/>
      <c r="AE163" s="141"/>
      <c r="AF163" s="141"/>
      <c r="AG163" s="141"/>
      <c r="AH163" s="141"/>
      <c r="AI163" s="141"/>
      <c r="AJ163" s="141"/>
      <c r="AK163" s="141"/>
      <c r="AL163" s="141"/>
      <c r="AM163" s="141"/>
      <c r="AN163" s="141"/>
      <c r="AO163" s="141"/>
      <c r="AP163" s="141"/>
      <c r="AQ163" s="141"/>
      <c r="AR163" s="141"/>
      <c r="AS163" s="141"/>
      <c r="AT163" s="141"/>
      <c r="AU163" s="141"/>
      <c r="AV163" s="141"/>
      <c r="AW163" s="141"/>
      <c r="AX163" s="141"/>
    </row>
    <row r="164" spans="1:65" ht="5.25" customHeight="1" outlineLevel="2" x14ac:dyDescent="0.2">
      <c r="A164" s="133"/>
      <c r="B164" s="204"/>
      <c r="C164" s="255"/>
      <c r="D164" s="246"/>
      <c r="E164" s="235"/>
      <c r="F164" s="235"/>
      <c r="G164" s="247"/>
      <c r="H164" s="234"/>
      <c r="I164" s="234"/>
      <c r="J164" s="235"/>
      <c r="K164" s="144"/>
      <c r="L164" s="141"/>
      <c r="M164" s="141"/>
      <c r="N164" s="141"/>
      <c r="O164" s="141"/>
      <c r="P164" s="141"/>
      <c r="Q164" s="141"/>
      <c r="R164" s="141"/>
      <c r="S164" s="141"/>
      <c r="T164" s="141"/>
      <c r="U164" s="141"/>
      <c r="V164" s="141"/>
      <c r="W164" s="141"/>
      <c r="X164" s="141"/>
      <c r="Y164" s="141"/>
      <c r="Z164" s="141"/>
      <c r="AA164" s="141"/>
      <c r="AB164" s="141"/>
      <c r="AC164" s="141"/>
      <c r="AD164" s="141"/>
      <c r="AE164" s="141"/>
      <c r="AF164" s="141"/>
      <c r="AG164" s="141"/>
      <c r="AH164" s="141"/>
      <c r="AI164" s="141"/>
      <c r="AJ164" s="141"/>
      <c r="AK164" s="141"/>
      <c r="AL164" s="141"/>
      <c r="AM164" s="141"/>
      <c r="AN164" s="141"/>
      <c r="AO164" s="141"/>
      <c r="AP164" s="141"/>
      <c r="AQ164" s="141"/>
      <c r="AR164" s="141"/>
      <c r="AS164" s="141"/>
      <c r="AT164" s="141"/>
      <c r="AU164" s="141"/>
      <c r="AV164" s="141"/>
      <c r="AW164" s="141"/>
      <c r="AX164" s="141"/>
      <c r="AY164" s="141"/>
      <c r="AZ164" s="141"/>
      <c r="BA164" s="141"/>
      <c r="BB164" s="141"/>
      <c r="BC164" s="141"/>
      <c r="BD164" s="141"/>
      <c r="BE164" s="141"/>
      <c r="BF164" s="141"/>
      <c r="BG164" s="141"/>
      <c r="BH164" s="141"/>
      <c r="BI164" s="141"/>
      <c r="BJ164" s="141"/>
      <c r="BK164" s="141"/>
      <c r="BL164" s="141"/>
      <c r="BM164" s="141"/>
    </row>
    <row r="165" spans="1:65" ht="16.5" customHeight="1" outlineLevel="2" x14ac:dyDescent="0.2">
      <c r="A165" s="133" t="s">
        <v>239</v>
      </c>
      <c r="B165" s="230" t="s">
        <v>240</v>
      </c>
      <c r="C165" s="257" t="s">
        <v>241</v>
      </c>
      <c r="D165" s="209"/>
      <c r="E165" s="1">
        <v>0</v>
      </c>
      <c r="F165" s="1">
        <v>0</v>
      </c>
      <c r="G165" s="211" t="s">
        <v>106</v>
      </c>
      <c r="H165" s="243">
        <f>E165*Données!D339</f>
        <v>0</v>
      </c>
      <c r="I165" s="243">
        <f>F165*Données!F339</f>
        <v>0</v>
      </c>
      <c r="J165" s="212" t="b">
        <f>IF(J$151&gt;0,IF(J$151&gt;Données!G339,"",F165*Données!D339*(1-J$151/Données!G339)))</f>
        <v>0</v>
      </c>
      <c r="K165" s="176"/>
      <c r="L165" s="141"/>
      <c r="M165" s="141"/>
      <c r="N165" s="141"/>
      <c r="O165" s="141"/>
      <c r="P165" s="141"/>
      <c r="Q165" s="141"/>
      <c r="R165" s="141"/>
      <c r="S165" s="141"/>
      <c r="T165" s="141"/>
      <c r="U165" s="141"/>
      <c r="V165" s="141"/>
      <c r="W165" s="141"/>
      <c r="X165" s="141"/>
      <c r="Y165" s="141"/>
      <c r="Z165" s="141"/>
      <c r="AA165" s="141"/>
      <c r="AB165" s="141"/>
      <c r="AC165" s="141"/>
      <c r="AD165" s="141"/>
      <c r="AE165" s="141"/>
      <c r="AF165" s="141"/>
      <c r="AG165" s="141"/>
      <c r="AH165" s="141"/>
      <c r="AI165" s="141"/>
      <c r="AJ165" s="141"/>
      <c r="AK165" s="141"/>
      <c r="AL165" s="141"/>
      <c r="AM165" s="141"/>
      <c r="AN165" s="141"/>
      <c r="AO165" s="141"/>
      <c r="AP165" s="141"/>
      <c r="AQ165" s="141"/>
      <c r="AR165" s="141"/>
      <c r="AS165" s="141"/>
      <c r="AT165" s="141"/>
      <c r="AU165" s="141"/>
      <c r="AV165" s="141"/>
      <c r="AW165" s="141"/>
      <c r="AX165" s="141"/>
      <c r="AY165" s="141"/>
      <c r="AZ165" s="141"/>
      <c r="BA165" s="141"/>
      <c r="BB165" s="141"/>
      <c r="BC165" s="141"/>
      <c r="BD165" s="141"/>
      <c r="BE165" s="141"/>
      <c r="BF165" s="141"/>
      <c r="BG165" s="141"/>
      <c r="BH165" s="141"/>
      <c r="BI165" s="141"/>
      <c r="BJ165" s="141"/>
      <c r="BK165" s="141"/>
      <c r="BL165" s="141"/>
      <c r="BM165" s="141"/>
    </row>
    <row r="166" spans="1:65" ht="16.5" customHeight="1" outlineLevel="2" x14ac:dyDescent="0.2">
      <c r="A166" s="133"/>
      <c r="B166" s="263"/>
      <c r="C166" s="257" t="s">
        <v>242</v>
      </c>
      <c r="D166" s="209"/>
      <c r="E166" s="700">
        <v>0</v>
      </c>
      <c r="F166" s="700"/>
      <c r="G166" s="211" t="s">
        <v>243</v>
      </c>
      <c r="H166" s="243">
        <f>IF(E$18&gt;0,E166*Données!$D340*E$18/($E$18+$F$18),0)</f>
        <v>0</v>
      </c>
      <c r="I166" s="243">
        <f>IF(F$18&gt;0,F166*Données!$D340*F$18/($E$18+$F$18),0)</f>
        <v>0</v>
      </c>
      <c r="J166" s="213"/>
      <c r="K166" s="176"/>
      <c r="L166" s="141"/>
      <c r="M166" s="141"/>
      <c r="N166" s="141"/>
      <c r="O166" s="141"/>
      <c r="P166" s="141"/>
      <c r="Q166" s="141"/>
      <c r="R166" s="141"/>
      <c r="S166" s="141"/>
      <c r="T166" s="141"/>
      <c r="U166" s="141"/>
      <c r="V166" s="141"/>
      <c r="W166" s="141"/>
      <c r="X166" s="141"/>
      <c r="Y166" s="141"/>
      <c r="Z166" s="141"/>
      <c r="AA166" s="141"/>
      <c r="AB166" s="141"/>
      <c r="AC166" s="141"/>
      <c r="AD166" s="141"/>
      <c r="AE166" s="141"/>
      <c r="AF166" s="141"/>
      <c r="AG166" s="141"/>
      <c r="AH166" s="141"/>
      <c r="AI166" s="141"/>
      <c r="AJ166" s="141"/>
      <c r="AK166" s="141"/>
      <c r="AL166" s="141"/>
      <c r="AM166" s="141"/>
      <c r="AN166" s="141"/>
      <c r="AO166" s="141"/>
      <c r="AP166" s="141"/>
      <c r="AQ166" s="141"/>
      <c r="AR166" s="141"/>
      <c r="AS166" s="141"/>
      <c r="AT166" s="141"/>
      <c r="AU166" s="141"/>
      <c r="AV166" s="141"/>
      <c r="AW166" s="141"/>
      <c r="AX166" s="141"/>
      <c r="AY166" s="141"/>
      <c r="AZ166" s="141"/>
      <c r="BA166" s="141"/>
      <c r="BB166" s="141"/>
      <c r="BC166" s="141"/>
      <c r="BD166" s="141"/>
      <c r="BE166" s="141"/>
      <c r="BF166" s="141"/>
      <c r="BG166" s="141"/>
      <c r="BH166" s="141"/>
      <c r="BI166" s="141"/>
      <c r="BJ166" s="141"/>
      <c r="BK166" s="141"/>
      <c r="BL166" s="141"/>
      <c r="BM166" s="141"/>
    </row>
    <row r="167" spans="1:65" ht="5.25" customHeight="1" outlineLevel="2" x14ac:dyDescent="0.2">
      <c r="A167" s="133"/>
      <c r="B167" s="204"/>
      <c r="C167" s="233"/>
      <c r="D167" s="205"/>
      <c r="E167" s="206"/>
      <c r="F167" s="206"/>
      <c r="G167" s="264"/>
      <c r="H167" s="234"/>
      <c r="I167" s="234"/>
      <c r="J167" s="235"/>
      <c r="K167" s="141"/>
      <c r="L167" s="141"/>
      <c r="M167" s="141"/>
      <c r="N167" s="141"/>
      <c r="O167" s="141"/>
      <c r="P167" s="141"/>
      <c r="Q167" s="141"/>
      <c r="R167" s="141"/>
      <c r="S167" s="141"/>
      <c r="T167" s="141"/>
      <c r="U167" s="141"/>
      <c r="V167" s="141"/>
      <c r="W167" s="141"/>
      <c r="X167" s="141"/>
      <c r="Y167" s="141"/>
      <c r="Z167" s="141"/>
      <c r="AA167" s="141"/>
      <c r="AB167" s="141"/>
      <c r="AC167" s="141"/>
      <c r="AD167" s="141"/>
      <c r="AE167" s="141"/>
      <c r="AF167" s="141"/>
      <c r="AG167" s="141"/>
      <c r="AH167" s="141"/>
      <c r="AI167" s="141"/>
      <c r="AJ167" s="141"/>
      <c r="AK167" s="141"/>
      <c r="AL167" s="141"/>
      <c r="AM167" s="141"/>
      <c r="AN167" s="141"/>
      <c r="AO167" s="141"/>
      <c r="AP167" s="141"/>
      <c r="AQ167" s="141"/>
      <c r="AR167" s="141"/>
      <c r="AS167" s="141"/>
      <c r="AT167" s="141"/>
      <c r="AU167" s="141"/>
      <c r="AV167" s="141"/>
      <c r="AW167" s="141"/>
      <c r="AX167" s="141"/>
    </row>
    <row r="168" spans="1:65" ht="16.5" customHeight="1" outlineLevel="2" x14ac:dyDescent="0.2">
      <c r="A168" s="133"/>
      <c r="B168" s="197" t="s">
        <v>171</v>
      </c>
      <c r="C168" s="236" t="s">
        <v>172</v>
      </c>
      <c r="D168" s="209"/>
      <c r="E168" s="1">
        <v>0</v>
      </c>
      <c r="F168" s="1">
        <v>0</v>
      </c>
      <c r="G168" s="211" t="str">
        <f>CONCATENATE("kgCO2e / ",G169)</f>
        <v>kgCO2e / unité</v>
      </c>
      <c r="H168" s="705">
        <f>E168*E169</f>
        <v>0</v>
      </c>
      <c r="I168" s="705">
        <f>F168*F169</f>
        <v>0</v>
      </c>
      <c r="J168" s="706"/>
      <c r="K168" s="141"/>
      <c r="L168" s="141"/>
      <c r="M168" s="141"/>
      <c r="N168" s="141"/>
      <c r="O168" s="141"/>
      <c r="P168" s="141"/>
      <c r="Q168" s="141"/>
      <c r="R168" s="141"/>
      <c r="S168" s="141"/>
      <c r="T168" s="141"/>
      <c r="U168" s="141"/>
      <c r="V168" s="141"/>
      <c r="W168" s="141"/>
      <c r="X168" s="141"/>
      <c r="Y168" s="141"/>
      <c r="Z168" s="141"/>
      <c r="AA168" s="141"/>
      <c r="AB168" s="141"/>
      <c r="AC168" s="141"/>
      <c r="AD168" s="141"/>
      <c r="AE168" s="141"/>
      <c r="AF168" s="141"/>
      <c r="AG168" s="141"/>
      <c r="AH168" s="141"/>
      <c r="AI168" s="141"/>
      <c r="AJ168" s="141"/>
      <c r="AK168" s="141"/>
      <c r="AL168" s="141"/>
      <c r="AM168" s="141"/>
      <c r="AN168" s="141"/>
      <c r="AO168" s="141"/>
      <c r="AP168" s="141"/>
      <c r="AQ168" s="141"/>
      <c r="AR168" s="141"/>
      <c r="AS168" s="141"/>
      <c r="AT168" s="141"/>
      <c r="AU168" s="141"/>
      <c r="AV168" s="141"/>
      <c r="AW168" s="141"/>
      <c r="AX168" s="141"/>
    </row>
    <row r="169" spans="1:65" ht="16.5" customHeight="1" outlineLevel="2" x14ac:dyDescent="0.2">
      <c r="A169" s="133"/>
      <c r="B169" s="237" t="s">
        <v>173</v>
      </c>
      <c r="C169" s="236" t="s">
        <v>174</v>
      </c>
      <c r="D169" s="209"/>
      <c r="E169" s="1">
        <v>0</v>
      </c>
      <c r="F169" s="1">
        <v>0</v>
      </c>
      <c r="G169" s="238" t="s">
        <v>175</v>
      </c>
      <c r="H169" s="705"/>
      <c r="I169" s="705"/>
      <c r="J169" s="706"/>
      <c r="K169" s="141"/>
      <c r="L169" s="141"/>
      <c r="M169" s="141"/>
      <c r="N169" s="141"/>
      <c r="O169" s="141"/>
      <c r="P169" s="141"/>
      <c r="Q169" s="141"/>
      <c r="R169" s="141"/>
      <c r="S169" s="141"/>
      <c r="T169" s="141"/>
      <c r="U169" s="141"/>
      <c r="V169" s="141"/>
      <c r="W169" s="141"/>
      <c r="X169" s="141"/>
      <c r="Y169" s="141"/>
      <c r="Z169" s="141"/>
      <c r="AA169" s="141"/>
      <c r="AB169" s="141"/>
      <c r="AC169" s="141"/>
      <c r="AD169" s="141"/>
      <c r="AE169" s="141"/>
      <c r="AF169" s="141"/>
      <c r="AG169" s="141"/>
      <c r="AH169" s="141"/>
      <c r="AI169" s="141"/>
      <c r="AJ169" s="141"/>
      <c r="AK169" s="141"/>
      <c r="AL169" s="141"/>
      <c r="AM169" s="141"/>
      <c r="AN169" s="141"/>
      <c r="AO169" s="141"/>
      <c r="AP169" s="141"/>
      <c r="AQ169" s="141"/>
      <c r="AR169" s="141"/>
      <c r="AS169" s="141"/>
      <c r="AT169" s="141"/>
      <c r="AU169" s="141"/>
      <c r="AV169" s="141"/>
      <c r="AW169" s="141"/>
      <c r="AX169" s="141"/>
    </row>
    <row r="170" spans="1:65" ht="13.5" outlineLevel="1" x14ac:dyDescent="0.2">
      <c r="A170" s="133"/>
      <c r="B170" s="239"/>
      <c r="C170" s="178"/>
      <c r="D170" s="178"/>
      <c r="E170" s="179"/>
      <c r="F170" s="179"/>
      <c r="G170" s="265"/>
      <c r="H170" s="179"/>
      <c r="I170" s="179"/>
      <c r="J170" s="179"/>
      <c r="K170" s="144"/>
      <c r="L170" s="141"/>
      <c r="M170" s="141"/>
      <c r="N170" s="141"/>
      <c r="O170" s="141"/>
      <c r="P170" s="141"/>
      <c r="Q170" s="141"/>
      <c r="R170" s="141"/>
      <c r="S170" s="141"/>
      <c r="T170" s="141"/>
      <c r="U170" s="141"/>
      <c r="V170" s="141"/>
      <c r="W170" s="141"/>
      <c r="X170" s="141"/>
      <c r="Y170" s="141"/>
      <c r="Z170" s="141"/>
      <c r="AA170" s="141"/>
      <c r="AB170" s="141"/>
      <c r="AC170" s="141"/>
      <c r="AD170" s="141"/>
      <c r="AE170" s="141"/>
      <c r="AF170" s="141"/>
      <c r="AG170" s="141"/>
      <c r="AH170" s="141"/>
      <c r="AI170" s="141"/>
      <c r="AJ170" s="141"/>
      <c r="AK170" s="141"/>
      <c r="AL170" s="141"/>
      <c r="AM170" s="141"/>
      <c r="AN170" s="141"/>
      <c r="AO170" s="141"/>
      <c r="AP170" s="141"/>
      <c r="AQ170" s="141"/>
      <c r="AR170" s="141"/>
      <c r="AS170" s="141"/>
      <c r="AT170" s="141"/>
      <c r="AU170" s="141"/>
      <c r="AV170" s="141"/>
      <c r="AW170" s="141"/>
      <c r="AX170" s="141"/>
      <c r="AY170" s="141"/>
      <c r="AZ170" s="141"/>
      <c r="BA170" s="141"/>
      <c r="BB170" s="141"/>
      <c r="BC170" s="141"/>
      <c r="BD170" s="141"/>
      <c r="BE170" s="141"/>
      <c r="BF170" s="141"/>
      <c r="BG170" s="141"/>
      <c r="BH170" s="141"/>
      <c r="BI170" s="141"/>
      <c r="BJ170" s="141"/>
      <c r="BK170" s="141"/>
      <c r="BL170" s="141"/>
      <c r="BM170" s="141"/>
    </row>
    <row r="171" spans="1:65" ht="38.25" customHeight="1" x14ac:dyDescent="0.2">
      <c r="A171" s="133"/>
      <c r="B171" s="266" t="s">
        <v>244</v>
      </c>
      <c r="C171" s="267"/>
      <c r="D171" s="268" t="str">
        <f>D$7</f>
        <v>GUIDE</v>
      </c>
      <c r="E171" s="269" t="str">
        <f>E$7</f>
        <v>BATIMENT(S) NEUF(S)
OU EXTENSION(S)</v>
      </c>
      <c r="F171" s="269" t="str">
        <f>F$7</f>
        <v>BATIMENT(S)
RENOVÉ(S)</v>
      </c>
      <c r="G171" s="270" t="s">
        <v>93</v>
      </c>
      <c r="H171" s="271" t="s">
        <v>245</v>
      </c>
      <c r="I171" s="271" t="s">
        <v>246</v>
      </c>
      <c r="J171" s="271"/>
      <c r="K171" s="268" t="str">
        <f>K$7</f>
        <v>COMMENTAIRE</v>
      </c>
      <c r="L171" s="139"/>
      <c r="M171" s="139"/>
      <c r="N171" s="139"/>
      <c r="O171" s="139"/>
      <c r="P171" s="139"/>
      <c r="Q171" s="139"/>
      <c r="R171" s="139"/>
      <c r="S171" s="139"/>
      <c r="T171" s="139"/>
      <c r="U171" s="139"/>
      <c r="V171" s="139"/>
      <c r="W171" s="139"/>
      <c r="X171" s="139"/>
      <c r="Y171" s="139"/>
      <c r="Z171" s="139"/>
      <c r="AA171" s="139"/>
      <c r="AB171" s="139"/>
      <c r="AC171" s="139"/>
      <c r="AD171" s="139"/>
      <c r="AE171" s="139"/>
      <c r="AF171" s="139"/>
      <c r="AG171" s="139"/>
      <c r="AH171" s="139"/>
      <c r="AI171" s="139"/>
      <c r="AJ171" s="139"/>
      <c r="AK171" s="139"/>
      <c r="AL171" s="139"/>
      <c r="AM171" s="139"/>
      <c r="AN171" s="139"/>
      <c r="AO171" s="139"/>
      <c r="AP171" s="139"/>
      <c r="AQ171" s="139"/>
      <c r="AR171" s="139"/>
      <c r="AS171" s="139"/>
      <c r="AT171" s="139"/>
      <c r="AU171" s="139"/>
      <c r="AV171" s="139"/>
      <c r="AW171" s="139"/>
      <c r="AX171" s="139"/>
      <c r="AY171" s="139"/>
      <c r="AZ171" s="139"/>
      <c r="BA171" s="139"/>
      <c r="BB171" s="139"/>
      <c r="BC171" s="139"/>
      <c r="BD171" s="139"/>
      <c r="BE171" s="139"/>
      <c r="BF171" s="139"/>
      <c r="BG171" s="139"/>
      <c r="BH171" s="139"/>
      <c r="BI171" s="139"/>
      <c r="BJ171" s="139"/>
      <c r="BK171" s="139"/>
      <c r="BL171" s="139"/>
      <c r="BM171" s="139"/>
    </row>
    <row r="172" spans="1:65" ht="6.75" customHeight="1" x14ac:dyDescent="0.2">
      <c r="A172" s="133"/>
      <c r="B172" s="140"/>
      <c r="C172" s="141"/>
      <c r="D172" s="142"/>
      <c r="E172" s="141"/>
      <c r="F172" s="143"/>
      <c r="G172" s="142"/>
      <c r="H172" s="144"/>
      <c r="I172" s="144"/>
      <c r="J172" s="144"/>
      <c r="K172" s="141"/>
      <c r="L172" s="109"/>
      <c r="M172" s="109"/>
      <c r="N172" s="109"/>
      <c r="O172" s="109"/>
      <c r="P172" s="109"/>
      <c r="Q172" s="109"/>
      <c r="R172" s="109"/>
      <c r="S172" s="109"/>
    </row>
    <row r="173" spans="1:65" ht="13.5" outlineLevel="1" x14ac:dyDescent="0.2">
      <c r="A173" s="133"/>
      <c r="B173" s="272" t="s">
        <v>247</v>
      </c>
      <c r="C173" s="273"/>
      <c r="D173" s="274" t="s">
        <v>248</v>
      </c>
      <c r="E173" s="275" t="s">
        <v>249</v>
      </c>
      <c r="F173" s="275" t="s">
        <v>250</v>
      </c>
      <c r="G173" s="276"/>
      <c r="H173" s="277"/>
      <c r="I173" s="277"/>
      <c r="J173" s="278"/>
      <c r="K173" s="279"/>
      <c r="L173" s="141"/>
      <c r="M173" s="141"/>
      <c r="N173" s="141"/>
      <c r="O173" s="141"/>
      <c r="P173" s="141"/>
      <c r="Q173" s="141"/>
      <c r="R173" s="141"/>
      <c r="S173" s="141"/>
      <c r="T173" s="141"/>
      <c r="U173" s="141"/>
      <c r="V173" s="141"/>
      <c r="W173" s="141"/>
      <c r="X173" s="141"/>
      <c r="Y173" s="141"/>
      <c r="Z173" s="141"/>
      <c r="AA173" s="141"/>
      <c r="AB173" s="141"/>
      <c r="AC173" s="141"/>
      <c r="AD173" s="141"/>
      <c r="AE173" s="141"/>
      <c r="AF173" s="141"/>
      <c r="AG173" s="141"/>
      <c r="AH173" s="141"/>
      <c r="AI173" s="141"/>
      <c r="AJ173" s="141"/>
      <c r="AK173" s="141"/>
      <c r="AL173" s="141"/>
      <c r="AM173" s="141"/>
      <c r="AN173" s="141"/>
      <c r="AO173" s="141"/>
      <c r="AP173" s="141"/>
      <c r="AQ173" s="141"/>
      <c r="AR173" s="141"/>
      <c r="AS173" s="141"/>
      <c r="AT173" s="141"/>
      <c r="AU173" s="141"/>
      <c r="AV173" s="141"/>
      <c r="AW173" s="141"/>
      <c r="AX173" s="141"/>
      <c r="AY173" s="141"/>
      <c r="AZ173" s="141"/>
      <c r="BA173" s="141"/>
      <c r="BB173" s="141"/>
      <c r="BC173" s="141"/>
      <c r="BD173" s="141"/>
      <c r="BE173" s="141"/>
      <c r="BF173" s="141"/>
      <c r="BG173" s="141"/>
      <c r="BH173" s="141"/>
      <c r="BI173" s="141"/>
      <c r="BJ173" s="141"/>
      <c r="BK173" s="141"/>
      <c r="BL173" s="141"/>
      <c r="BM173" s="141"/>
    </row>
    <row r="174" spans="1:65" ht="13.5" outlineLevel="2" x14ac:dyDescent="0.2">
      <c r="A174" s="133"/>
      <c r="B174" s="280"/>
      <c r="C174" s="281" t="s">
        <v>251</v>
      </c>
      <c r="D174" s="282"/>
      <c r="E174" s="283">
        <f>IF(PROJET!C$8='Data-Liste'!A$3,E$14,IF(PROJET!C$8='Data-Liste'!A$4,0,IF(PROJET!C$8='Data-Liste'!A$5,E$14/2,0)))</f>
        <v>0</v>
      </c>
      <c r="F174" s="283">
        <f>F15+F16</f>
        <v>0</v>
      </c>
      <c r="G174" s="284" t="s">
        <v>106</v>
      </c>
      <c r="H174" s="285"/>
      <c r="I174" s="285"/>
      <c r="J174" s="286"/>
      <c r="K174" s="203"/>
      <c r="L174" s="141"/>
      <c r="M174" s="141"/>
      <c r="N174" s="141"/>
      <c r="O174" s="141"/>
      <c r="P174" s="141"/>
      <c r="Q174" s="141"/>
      <c r="R174" s="141"/>
      <c r="S174" s="141"/>
      <c r="T174" s="141"/>
      <c r="U174" s="141"/>
      <c r="V174" s="141"/>
      <c r="W174" s="141"/>
      <c r="X174" s="141"/>
      <c r="Y174" s="141"/>
      <c r="Z174" s="141"/>
      <c r="AA174" s="141"/>
      <c r="AB174" s="141"/>
      <c r="AC174" s="141"/>
      <c r="AD174" s="141"/>
      <c r="AE174" s="141"/>
      <c r="AF174" s="141"/>
      <c r="AG174" s="141"/>
      <c r="AH174" s="141"/>
      <c r="AI174" s="141"/>
      <c r="AJ174" s="141"/>
      <c r="AK174" s="141"/>
      <c r="AL174" s="141"/>
      <c r="AM174" s="141"/>
      <c r="AN174" s="141"/>
      <c r="AO174" s="141"/>
      <c r="AP174" s="141"/>
      <c r="AQ174" s="141"/>
      <c r="AR174" s="141"/>
      <c r="AS174" s="141"/>
      <c r="AT174" s="141"/>
      <c r="AU174" s="141"/>
      <c r="AV174" s="141"/>
      <c r="AW174" s="141"/>
      <c r="AX174" s="141"/>
      <c r="AY174" s="141"/>
      <c r="AZ174" s="141"/>
      <c r="BA174" s="141"/>
      <c r="BB174" s="141"/>
      <c r="BC174" s="141"/>
      <c r="BD174" s="141"/>
      <c r="BE174" s="141"/>
      <c r="BF174" s="141"/>
      <c r="BG174" s="141"/>
      <c r="BH174" s="141"/>
      <c r="BI174" s="141"/>
      <c r="BJ174" s="141"/>
      <c r="BK174" s="141"/>
      <c r="BL174" s="141"/>
      <c r="BM174" s="141"/>
    </row>
    <row r="175" spans="1:65" ht="13.5" outlineLevel="2" x14ac:dyDescent="0.2">
      <c r="A175" s="133"/>
      <c r="B175" s="287"/>
      <c r="C175" s="288" t="s">
        <v>252</v>
      </c>
      <c r="D175" s="289"/>
      <c r="E175" s="290">
        <f>IF(C$17='Data-Liste'!F3,IF(PROJET!C$8='Data-Liste'!A$3,0,IF(PROJET!C$8='Data-Liste'!A$4,E$14,IF(PROJET!C$8='Data-Liste'!A$5,E$14/2,0))),0)</f>
        <v>0</v>
      </c>
      <c r="F175" s="290">
        <f>IF(C$17='Data-Liste'!F3,F$17,0)</f>
        <v>0</v>
      </c>
      <c r="G175" s="291" t="s">
        <v>106</v>
      </c>
      <c r="H175" s="292"/>
      <c r="I175" s="292"/>
      <c r="J175" s="286"/>
      <c r="K175" s="176"/>
      <c r="L175" s="141"/>
      <c r="M175" s="141"/>
      <c r="N175" s="141"/>
      <c r="O175" s="141"/>
      <c r="P175" s="141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  <c r="AA175" s="141"/>
      <c r="AB175" s="141"/>
      <c r="AC175" s="141"/>
      <c r="AD175" s="141"/>
      <c r="AE175" s="141"/>
      <c r="AF175" s="141"/>
      <c r="AG175" s="141"/>
      <c r="AH175" s="141"/>
      <c r="AI175" s="141"/>
      <c r="AJ175" s="141"/>
      <c r="AK175" s="141"/>
      <c r="AL175" s="141"/>
      <c r="AM175" s="141"/>
      <c r="AN175" s="141"/>
      <c r="AO175" s="141"/>
      <c r="AP175" s="141"/>
      <c r="AQ175" s="141"/>
      <c r="AR175" s="141"/>
      <c r="AS175" s="141"/>
      <c r="AT175" s="141"/>
      <c r="AU175" s="141"/>
      <c r="AV175" s="141"/>
      <c r="AW175" s="141"/>
      <c r="AX175" s="141"/>
      <c r="AY175" s="141"/>
      <c r="AZ175" s="141"/>
      <c r="BA175" s="141"/>
      <c r="BB175" s="141"/>
      <c r="BC175" s="141"/>
      <c r="BD175" s="141"/>
      <c r="BE175" s="141"/>
      <c r="BF175" s="141"/>
      <c r="BG175" s="141"/>
      <c r="BH175" s="141"/>
      <c r="BI175" s="141"/>
      <c r="BJ175" s="141"/>
      <c r="BK175" s="141"/>
      <c r="BL175" s="141"/>
      <c r="BM175" s="141"/>
    </row>
    <row r="176" spans="1:65" ht="13.5" outlineLevel="2" x14ac:dyDescent="0.2">
      <c r="A176" s="133"/>
      <c r="B176" s="280"/>
      <c r="C176" s="288" t="s">
        <v>253</v>
      </c>
      <c r="D176" s="289"/>
      <c r="E176" s="290">
        <f>IF(C$17='Data-Liste'!F4,IF(PROJET!C$8='Data-Liste'!A$3,0,IF(PROJET!C$8='Data-Liste'!A$4,E$14,IF(PROJET!C$8='Data-Liste'!A$5,E$14/2,0))),0)</f>
        <v>0</v>
      </c>
      <c r="F176" s="290">
        <f>IF(C$17='Data-Liste'!F4,F$17,0)</f>
        <v>0</v>
      </c>
      <c r="G176" s="291" t="s">
        <v>106</v>
      </c>
      <c r="H176" s="292"/>
      <c r="I176" s="292"/>
      <c r="J176" s="286"/>
      <c r="K176" s="176"/>
      <c r="L176" s="141"/>
      <c r="M176" s="141"/>
      <c r="N176" s="141"/>
      <c r="O176" s="141"/>
      <c r="P176" s="141"/>
      <c r="Q176" s="141"/>
      <c r="R176" s="141"/>
      <c r="S176" s="141"/>
      <c r="T176" s="141"/>
      <c r="U176" s="141"/>
      <c r="V176" s="141"/>
      <c r="W176" s="141"/>
      <c r="X176" s="141"/>
      <c r="Y176" s="141"/>
      <c r="Z176" s="141"/>
      <c r="AA176" s="141"/>
      <c r="AB176" s="141"/>
      <c r="AC176" s="141"/>
      <c r="AD176" s="141"/>
      <c r="AE176" s="141"/>
      <c r="AF176" s="141"/>
      <c r="AG176" s="141"/>
      <c r="AH176" s="141"/>
      <c r="AI176" s="141"/>
      <c r="AJ176" s="141"/>
      <c r="AK176" s="141"/>
      <c r="AL176" s="141"/>
      <c r="AM176" s="141"/>
      <c r="AN176" s="141"/>
      <c r="AO176" s="141"/>
      <c r="AP176" s="141"/>
      <c r="AQ176" s="141"/>
      <c r="AR176" s="141"/>
      <c r="AS176" s="141"/>
      <c r="AT176" s="141"/>
      <c r="AU176" s="141"/>
      <c r="AV176" s="141"/>
      <c r="AW176" s="141"/>
      <c r="AX176" s="141"/>
      <c r="AY176" s="141"/>
      <c r="AZ176" s="141"/>
      <c r="BA176" s="141"/>
      <c r="BB176" s="141"/>
      <c r="BC176" s="141"/>
      <c r="BD176" s="141"/>
      <c r="BE176" s="141"/>
      <c r="BF176" s="141"/>
      <c r="BG176" s="141"/>
      <c r="BH176" s="141"/>
      <c r="BI176" s="141"/>
      <c r="BJ176" s="141"/>
      <c r="BK176" s="141"/>
      <c r="BL176" s="141"/>
      <c r="BM176" s="141"/>
    </row>
    <row r="177" spans="1:65" ht="13.5" outlineLevel="2" x14ac:dyDescent="0.2">
      <c r="A177" s="133"/>
      <c r="B177" s="280"/>
      <c r="C177" s="288" t="s">
        <v>254</v>
      </c>
      <c r="D177" s="289"/>
      <c r="E177" s="290">
        <f>IF(C$17='Data-Liste'!F5,IF(PROJET!C$8='Data-Liste'!A$3,0,IF(PROJET!C$8='Data-Liste'!A$4,E$14,IF(PROJET!C$8='Data-Liste'!A$5,E$14/2,0))),0)</f>
        <v>0</v>
      </c>
      <c r="F177" s="290">
        <f>IF(C$17='Data-Liste'!F5,F$17,0)</f>
        <v>0</v>
      </c>
      <c r="G177" s="293" t="s">
        <v>106</v>
      </c>
      <c r="H177" s="292"/>
      <c r="I177" s="292"/>
      <c r="J177" s="286"/>
      <c r="K177" s="176"/>
      <c r="L177" s="141"/>
      <c r="M177" s="141"/>
      <c r="N177" s="141"/>
      <c r="O177" s="141"/>
      <c r="P177" s="141"/>
      <c r="Q177" s="141"/>
      <c r="R177" s="141"/>
      <c r="S177" s="141"/>
      <c r="T177" s="141"/>
      <c r="U177" s="141"/>
      <c r="V177" s="141"/>
      <c r="W177" s="141"/>
      <c r="X177" s="141"/>
      <c r="Y177" s="141"/>
      <c r="Z177" s="141"/>
      <c r="AA177" s="141"/>
      <c r="AB177" s="141"/>
      <c r="AC177" s="141"/>
      <c r="AD177" s="141"/>
      <c r="AE177" s="141"/>
      <c r="AF177" s="141"/>
      <c r="AG177" s="141"/>
      <c r="AH177" s="141"/>
      <c r="AI177" s="141"/>
      <c r="AJ177" s="141"/>
      <c r="AK177" s="141"/>
      <c r="AL177" s="141"/>
      <c r="AM177" s="141"/>
      <c r="AN177" s="141"/>
      <c r="AO177" s="141"/>
      <c r="AP177" s="141"/>
      <c r="AQ177" s="141"/>
      <c r="AR177" s="141"/>
      <c r="AS177" s="141"/>
      <c r="AT177" s="141"/>
      <c r="AU177" s="141"/>
      <c r="AV177" s="141"/>
      <c r="AW177" s="141"/>
      <c r="AX177" s="141"/>
      <c r="AY177" s="141"/>
      <c r="AZ177" s="141"/>
      <c r="BA177" s="141"/>
      <c r="BB177" s="141"/>
      <c r="BC177" s="141"/>
      <c r="BD177" s="141"/>
      <c r="BE177" s="141"/>
      <c r="BF177" s="141"/>
      <c r="BG177" s="141"/>
      <c r="BH177" s="141"/>
      <c r="BI177" s="141"/>
      <c r="BJ177" s="141"/>
      <c r="BK177" s="141"/>
      <c r="BL177" s="141"/>
      <c r="BM177" s="141"/>
    </row>
    <row r="178" spans="1:65" ht="13.5" outlineLevel="2" x14ac:dyDescent="0.2">
      <c r="A178" s="133"/>
      <c r="B178" s="280"/>
      <c r="C178" s="288" t="s">
        <v>255</v>
      </c>
      <c r="D178" s="289"/>
      <c r="E178" s="290">
        <f>IF(C$17='Data-Liste'!F6,IF(PROJET!C$8='Data-Liste'!A$3,0,IF(PROJET!C$8='Data-Liste'!A$4,E$14,IF(PROJET!C$8='Data-Liste'!A$5,E$14/2,0))),0)</f>
        <v>0</v>
      </c>
      <c r="F178" s="290">
        <f>IF(C$17='Data-Liste'!F6,F$17,0)</f>
        <v>0</v>
      </c>
      <c r="G178" s="293" t="s">
        <v>106</v>
      </c>
      <c r="H178" s="292"/>
      <c r="I178" s="292"/>
      <c r="J178" s="286"/>
      <c r="K178" s="176"/>
      <c r="L178" s="141"/>
      <c r="M178" s="141"/>
      <c r="N178" s="141"/>
      <c r="O178" s="141"/>
      <c r="P178" s="141"/>
      <c r="Q178" s="141"/>
      <c r="R178" s="141"/>
      <c r="S178" s="141"/>
      <c r="T178" s="141"/>
      <c r="U178" s="141"/>
      <c r="V178" s="141"/>
      <c r="W178" s="141"/>
      <c r="X178" s="141"/>
      <c r="Y178" s="141"/>
      <c r="Z178" s="141"/>
      <c r="AA178" s="141"/>
      <c r="AB178" s="141"/>
      <c r="AC178" s="141"/>
      <c r="AD178" s="141"/>
      <c r="AE178" s="141"/>
      <c r="AF178" s="141"/>
      <c r="AG178" s="141"/>
      <c r="AH178" s="141"/>
      <c r="AI178" s="141"/>
      <c r="AJ178" s="141"/>
      <c r="AK178" s="141"/>
      <c r="AL178" s="141"/>
      <c r="AM178" s="141"/>
      <c r="AN178" s="141"/>
      <c r="AO178" s="141"/>
      <c r="AP178" s="141"/>
      <c r="AQ178" s="141"/>
      <c r="AR178" s="141"/>
      <c r="AS178" s="141"/>
      <c r="AT178" s="141"/>
      <c r="AU178" s="141"/>
      <c r="AV178" s="141"/>
      <c r="AW178" s="141"/>
      <c r="AX178" s="141"/>
      <c r="AY178" s="141"/>
      <c r="AZ178" s="141"/>
      <c r="BA178" s="141"/>
      <c r="BB178" s="141"/>
      <c r="BC178" s="141"/>
      <c r="BD178" s="141"/>
      <c r="BE178" s="141"/>
      <c r="BF178" s="141"/>
      <c r="BG178" s="141"/>
      <c r="BH178" s="141"/>
      <c r="BI178" s="141"/>
      <c r="BJ178" s="141"/>
      <c r="BK178" s="141"/>
      <c r="BL178" s="141"/>
      <c r="BM178" s="141"/>
    </row>
    <row r="179" spans="1:65" ht="13.5" outlineLevel="2" x14ac:dyDescent="0.2">
      <c r="A179" s="133"/>
      <c r="B179" s="280"/>
      <c r="C179" s="288" t="s">
        <v>256</v>
      </c>
      <c r="D179" s="289"/>
      <c r="E179" s="290">
        <f>IF(C$17='Data-Liste'!F7,IF(PROJET!C$8='Data-Liste'!A$3,0,IF(PROJET!C$8='Data-Liste'!A$4,E$14,IF(PROJET!C$8='Data-Liste'!A$5,E$14/2,0))),0)</f>
        <v>0</v>
      </c>
      <c r="F179" s="290">
        <f>IF(C$17='Data-Liste'!F7,F$17,0)</f>
        <v>0</v>
      </c>
      <c r="G179" s="291" t="s">
        <v>106</v>
      </c>
      <c r="H179" s="292"/>
      <c r="I179" s="292"/>
      <c r="J179" s="286"/>
      <c r="K179" s="176"/>
      <c r="L179" s="141"/>
      <c r="M179" s="141"/>
      <c r="N179" s="141"/>
      <c r="O179" s="141"/>
      <c r="P179" s="141"/>
      <c r="Q179" s="141"/>
      <c r="R179" s="141"/>
      <c r="S179" s="141"/>
      <c r="T179" s="141"/>
      <c r="U179" s="141"/>
      <c r="V179" s="141"/>
      <c r="W179" s="141"/>
      <c r="X179" s="141"/>
      <c r="Y179" s="141"/>
      <c r="Z179" s="141"/>
      <c r="AA179" s="141"/>
      <c r="AB179" s="141"/>
      <c r="AC179" s="141"/>
      <c r="AD179" s="141"/>
      <c r="AE179" s="141"/>
      <c r="AF179" s="141"/>
      <c r="AG179" s="141"/>
      <c r="AH179" s="141"/>
      <c r="AI179" s="141"/>
      <c r="AJ179" s="141"/>
      <c r="AK179" s="141"/>
      <c r="AL179" s="141"/>
      <c r="AM179" s="141"/>
      <c r="AN179" s="141"/>
      <c r="AO179" s="141"/>
      <c r="AP179" s="141"/>
      <c r="AQ179" s="141"/>
      <c r="AR179" s="141"/>
      <c r="AS179" s="141"/>
      <c r="AT179" s="141"/>
      <c r="AU179" s="141"/>
      <c r="AV179" s="141"/>
      <c r="AW179" s="141"/>
      <c r="AX179" s="141"/>
      <c r="AY179" s="141"/>
      <c r="AZ179" s="141"/>
      <c r="BA179" s="141"/>
      <c r="BB179" s="141"/>
      <c r="BC179" s="141"/>
      <c r="BD179" s="141"/>
      <c r="BE179" s="141"/>
      <c r="BF179" s="141"/>
      <c r="BG179" s="141"/>
      <c r="BH179" s="141"/>
      <c r="BI179" s="141"/>
      <c r="BJ179" s="141"/>
      <c r="BK179" s="141"/>
      <c r="BL179" s="141"/>
      <c r="BM179" s="141"/>
    </row>
    <row r="180" spans="1:65" ht="13.5" outlineLevel="2" x14ac:dyDescent="0.2">
      <c r="A180" s="133"/>
      <c r="B180" s="294"/>
      <c r="C180" s="295" t="s">
        <v>257</v>
      </c>
      <c r="D180" s="296"/>
      <c r="E180" s="297">
        <f>SUMPRODUCT(E174:E179,Données!D344:D349)</f>
        <v>0</v>
      </c>
      <c r="F180" s="298">
        <f>IF(PROJET!G27='Data-Liste'!K4,SUMPRODUCT(F174:F179,Données!F344:F349),PROJET!G28*F$18)</f>
        <v>0</v>
      </c>
      <c r="G180" s="291" t="s">
        <v>258</v>
      </c>
      <c r="H180" s="292">
        <f>-E180*Données!$D350</f>
        <v>0</v>
      </c>
      <c r="I180" s="292">
        <f>-F180*Données!$D350</f>
        <v>0</v>
      </c>
      <c r="J180" s="286"/>
      <c r="K180" s="176"/>
      <c r="L180" s="141"/>
      <c r="M180" s="141"/>
      <c r="N180" s="141"/>
      <c r="O180" s="141"/>
      <c r="P180" s="141"/>
      <c r="Q180" s="141"/>
      <c r="R180" s="141"/>
      <c r="S180" s="141"/>
      <c r="T180" s="141"/>
      <c r="U180" s="141"/>
      <c r="V180" s="141"/>
      <c r="W180" s="141"/>
      <c r="X180" s="141"/>
      <c r="Y180" s="141"/>
      <c r="Z180" s="141"/>
      <c r="AA180" s="141"/>
      <c r="AB180" s="141"/>
      <c r="AC180" s="141"/>
      <c r="AD180" s="141"/>
      <c r="AE180" s="141"/>
      <c r="AF180" s="141"/>
      <c r="AG180" s="141"/>
      <c r="AH180" s="141"/>
      <c r="AI180" s="141"/>
      <c r="AJ180" s="141"/>
      <c r="AK180" s="141"/>
      <c r="AL180" s="141"/>
      <c r="AM180" s="141"/>
      <c r="AN180" s="141"/>
      <c r="AO180" s="141"/>
      <c r="AP180" s="141"/>
      <c r="AQ180" s="141"/>
      <c r="AR180" s="141"/>
      <c r="AS180" s="141"/>
      <c r="AT180" s="141"/>
      <c r="AU180" s="141"/>
      <c r="AV180" s="141"/>
      <c r="AW180" s="141"/>
      <c r="AX180" s="141"/>
      <c r="AY180" s="141"/>
      <c r="AZ180" s="141"/>
      <c r="BA180" s="141"/>
      <c r="BB180" s="141"/>
      <c r="BC180" s="141"/>
      <c r="BD180" s="141"/>
      <c r="BE180" s="141"/>
      <c r="BF180" s="141"/>
      <c r="BG180" s="141"/>
      <c r="BH180" s="141"/>
      <c r="BI180" s="141"/>
      <c r="BJ180" s="141"/>
      <c r="BK180" s="141"/>
      <c r="BL180" s="141"/>
      <c r="BM180" s="141"/>
    </row>
    <row r="181" spans="1:65" ht="13.5" outlineLevel="2" x14ac:dyDescent="0.2">
      <c r="A181" s="133"/>
      <c r="B181" s="294"/>
      <c r="C181" s="299" t="s">
        <v>259</v>
      </c>
      <c r="D181" s="300"/>
      <c r="E181" s="301">
        <f>IF(E$14&gt;0,E180/E$14,0)</f>
        <v>0</v>
      </c>
      <c r="F181" s="301">
        <f>IF(F$18&gt;0,F180/F$18,0)</f>
        <v>0</v>
      </c>
      <c r="G181" s="302" t="s">
        <v>260</v>
      </c>
      <c r="H181" s="292"/>
      <c r="I181" s="292"/>
      <c r="J181" s="286"/>
      <c r="K181" s="144"/>
      <c r="L181" s="141"/>
      <c r="M181" s="141"/>
      <c r="N181" s="141"/>
      <c r="O181" s="141"/>
      <c r="P181" s="141"/>
      <c r="Q181" s="141"/>
      <c r="R181" s="141"/>
      <c r="S181" s="141"/>
      <c r="T181" s="141"/>
      <c r="U181" s="141"/>
      <c r="V181" s="141"/>
      <c r="W181" s="141"/>
      <c r="X181" s="141"/>
      <c r="Y181" s="141"/>
      <c r="Z181" s="141"/>
      <c r="AA181" s="141"/>
      <c r="AB181" s="141"/>
      <c r="AC181" s="141"/>
      <c r="AD181" s="141"/>
      <c r="AE181" s="141"/>
      <c r="AF181" s="141"/>
      <c r="AG181" s="141"/>
      <c r="AH181" s="141"/>
      <c r="AI181" s="141"/>
      <c r="AJ181" s="141"/>
      <c r="AK181" s="141"/>
      <c r="AL181" s="141"/>
      <c r="AM181" s="141"/>
      <c r="AN181" s="141"/>
      <c r="AO181" s="141"/>
      <c r="AP181" s="141"/>
      <c r="AQ181" s="141"/>
      <c r="AR181" s="141"/>
      <c r="AS181" s="141"/>
      <c r="AT181" s="141"/>
      <c r="AU181" s="141"/>
      <c r="AV181" s="141"/>
      <c r="AW181" s="141"/>
      <c r="AX181" s="141"/>
      <c r="AY181" s="141"/>
      <c r="AZ181" s="141"/>
      <c r="BA181" s="141"/>
      <c r="BB181" s="141"/>
      <c r="BC181" s="141"/>
      <c r="BD181" s="141"/>
      <c r="BE181" s="141"/>
      <c r="BF181" s="141"/>
      <c r="BG181" s="141"/>
      <c r="BH181" s="141"/>
      <c r="BI181" s="141"/>
      <c r="BJ181" s="141"/>
      <c r="BK181" s="141"/>
      <c r="BL181" s="141"/>
      <c r="BM181" s="141"/>
    </row>
    <row r="182" spans="1:65" ht="13.5" outlineLevel="1" x14ac:dyDescent="0.2">
      <c r="A182" s="133"/>
      <c r="B182" s="216"/>
      <c r="C182" s="171"/>
      <c r="D182" s="178"/>
      <c r="E182" s="179"/>
      <c r="F182" s="303"/>
      <c r="G182" s="304"/>
      <c r="H182" s="144"/>
      <c r="I182" s="144"/>
      <c r="J182" s="163"/>
      <c r="K182" s="144"/>
      <c r="L182" s="141"/>
      <c r="M182" s="141"/>
      <c r="N182" s="141"/>
      <c r="O182" s="141"/>
      <c r="P182" s="141"/>
      <c r="Q182" s="141"/>
      <c r="R182" s="141"/>
      <c r="S182" s="141"/>
      <c r="T182" s="141"/>
      <c r="U182" s="141"/>
      <c r="V182" s="141"/>
      <c r="W182" s="141"/>
      <c r="X182" s="141"/>
      <c r="Y182" s="141"/>
      <c r="Z182" s="141"/>
      <c r="AA182" s="141"/>
      <c r="AB182" s="141"/>
      <c r="AC182" s="141"/>
      <c r="AD182" s="141"/>
      <c r="AE182" s="141"/>
      <c r="AF182" s="141"/>
      <c r="AG182" s="141"/>
      <c r="AH182" s="141"/>
      <c r="AI182" s="141"/>
      <c r="AJ182" s="141"/>
      <c r="AK182" s="141"/>
      <c r="AL182" s="141"/>
      <c r="AM182" s="141"/>
      <c r="AN182" s="141"/>
      <c r="AO182" s="141"/>
      <c r="AP182" s="141"/>
      <c r="AQ182" s="141"/>
      <c r="AR182" s="141"/>
      <c r="AS182" s="141"/>
      <c r="AT182" s="141"/>
      <c r="AU182" s="141"/>
      <c r="AV182" s="141"/>
      <c r="AW182" s="141"/>
      <c r="AX182" s="141"/>
      <c r="AY182" s="141"/>
      <c r="AZ182" s="141"/>
      <c r="BA182" s="141"/>
      <c r="BB182" s="141"/>
      <c r="BC182" s="141"/>
      <c r="BD182" s="141"/>
      <c r="BE182" s="141"/>
      <c r="BF182" s="141"/>
      <c r="BG182" s="141"/>
      <c r="BH182" s="141"/>
      <c r="BI182" s="141"/>
      <c r="BJ182" s="141"/>
      <c r="BK182" s="141"/>
      <c r="BL182" s="141"/>
      <c r="BM182" s="141"/>
    </row>
    <row r="183" spans="1:65" ht="16.5" customHeight="1" outlineLevel="1" x14ac:dyDescent="0.2">
      <c r="A183" s="133"/>
      <c r="B183" s="272" t="s">
        <v>261</v>
      </c>
      <c r="C183" s="273"/>
      <c r="D183" s="274" t="s">
        <v>262</v>
      </c>
      <c r="E183" s="277"/>
      <c r="F183" s="277"/>
      <c r="G183" s="305"/>
      <c r="H183" s="277"/>
      <c r="I183" s="277"/>
      <c r="J183" s="278"/>
      <c r="K183" s="279"/>
      <c r="L183" s="141"/>
      <c r="M183" s="141"/>
      <c r="N183" s="141"/>
      <c r="O183" s="141"/>
      <c r="P183" s="141"/>
      <c r="Q183" s="141"/>
      <c r="R183" s="141"/>
      <c r="S183" s="141"/>
      <c r="T183" s="141"/>
      <c r="U183" s="141"/>
      <c r="V183" s="141"/>
      <c r="W183" s="141"/>
      <c r="X183" s="141"/>
      <c r="Y183" s="141"/>
      <c r="Z183" s="141"/>
      <c r="AA183" s="141"/>
      <c r="AB183" s="141"/>
      <c r="AC183" s="141"/>
      <c r="AD183" s="141"/>
      <c r="AE183" s="141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  <c r="AS183" s="141"/>
      <c r="AT183" s="141"/>
      <c r="AU183" s="141"/>
      <c r="AV183" s="141"/>
      <c r="AW183" s="141"/>
      <c r="AX183" s="141"/>
      <c r="AY183" s="141"/>
      <c r="AZ183" s="141"/>
      <c r="BA183" s="141"/>
      <c r="BB183" s="141"/>
      <c r="BC183" s="141"/>
      <c r="BD183" s="141"/>
      <c r="BE183" s="141"/>
      <c r="BF183" s="141"/>
      <c r="BG183" s="141"/>
      <c r="BH183" s="141"/>
      <c r="BI183" s="141"/>
      <c r="BJ183" s="141"/>
      <c r="BK183" s="141"/>
      <c r="BL183" s="141"/>
      <c r="BM183" s="141"/>
    </row>
    <row r="184" spans="1:65" ht="16.5" customHeight="1" outlineLevel="2" x14ac:dyDescent="0.2">
      <c r="A184" s="133"/>
      <c r="B184" s="306"/>
      <c r="C184" s="307" t="s">
        <v>263</v>
      </c>
      <c r="D184" s="308"/>
      <c r="E184" s="283" t="s">
        <v>139</v>
      </c>
      <c r="F184" s="283" t="s">
        <v>139</v>
      </c>
      <c r="G184" s="309" t="s">
        <v>143</v>
      </c>
      <c r="H184" s="285"/>
      <c r="I184" s="285"/>
      <c r="J184" s="310"/>
      <c r="K184" s="203"/>
      <c r="L184" s="141"/>
      <c r="M184" s="141"/>
      <c r="N184" s="141"/>
      <c r="O184" s="141"/>
      <c r="P184" s="141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  <c r="AA184" s="141"/>
      <c r="AB184" s="141"/>
      <c r="AC184" s="141"/>
      <c r="AD184" s="141"/>
      <c r="AE184" s="141"/>
      <c r="AF184" s="141"/>
      <c r="AG184" s="141"/>
      <c r="AH184" s="141"/>
      <c r="AI184" s="141"/>
      <c r="AJ184" s="141"/>
      <c r="AK184" s="141"/>
      <c r="AL184" s="141"/>
      <c r="AM184" s="141"/>
      <c r="AN184" s="141"/>
      <c r="AO184" s="141"/>
      <c r="AP184" s="141"/>
      <c r="AQ184" s="141"/>
      <c r="AR184" s="141"/>
      <c r="AS184" s="141"/>
      <c r="AT184" s="141"/>
      <c r="AU184" s="141"/>
      <c r="AV184" s="141"/>
      <c r="AW184" s="141"/>
      <c r="AX184" s="141"/>
      <c r="AY184" s="141"/>
      <c r="AZ184" s="141"/>
      <c r="BA184" s="141"/>
      <c r="BB184" s="141"/>
      <c r="BC184" s="141"/>
      <c r="BD184" s="141"/>
      <c r="BE184" s="141"/>
      <c r="BF184" s="141"/>
      <c r="BG184" s="141"/>
      <c r="BH184" s="141"/>
      <c r="BI184" s="141"/>
      <c r="BJ184" s="141"/>
      <c r="BK184" s="141"/>
      <c r="BL184" s="141"/>
      <c r="BM184" s="141"/>
    </row>
    <row r="185" spans="1:65" ht="5.25" customHeight="1" outlineLevel="2" x14ac:dyDescent="0.2">
      <c r="A185" s="133"/>
      <c r="B185" s="311"/>
      <c r="C185" s="312"/>
      <c r="D185" s="313"/>
      <c r="E185" s="314"/>
      <c r="F185" s="314"/>
      <c r="G185" s="315"/>
      <c r="H185" s="314"/>
      <c r="I185" s="314"/>
      <c r="J185" s="316"/>
      <c r="K185" s="144"/>
      <c r="L185" s="141"/>
      <c r="M185" s="141"/>
      <c r="N185" s="141"/>
      <c r="O185" s="141"/>
      <c r="P185" s="141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  <c r="AA185" s="141"/>
      <c r="AB185" s="141"/>
      <c r="AC185" s="141"/>
      <c r="AD185" s="141"/>
      <c r="AE185" s="141"/>
      <c r="AF185" s="141"/>
      <c r="AG185" s="141"/>
      <c r="AH185" s="141"/>
      <c r="AI185" s="141"/>
      <c r="AJ185" s="141"/>
      <c r="AK185" s="141"/>
      <c r="AL185" s="141"/>
      <c r="AM185" s="141"/>
      <c r="AN185" s="141"/>
      <c r="AO185" s="141"/>
      <c r="AP185" s="141"/>
      <c r="AQ185" s="141"/>
      <c r="AR185" s="141"/>
      <c r="AS185" s="141"/>
      <c r="AT185" s="141"/>
      <c r="AU185" s="141"/>
      <c r="AV185" s="141"/>
      <c r="AW185" s="141"/>
      <c r="AX185" s="141"/>
      <c r="AY185" s="141"/>
      <c r="AZ185" s="141"/>
      <c r="BA185" s="141"/>
      <c r="BB185" s="141"/>
      <c r="BC185" s="141"/>
      <c r="BD185" s="141"/>
      <c r="BE185" s="141"/>
      <c r="BF185" s="141"/>
      <c r="BG185" s="141"/>
      <c r="BH185" s="141"/>
      <c r="BI185" s="141"/>
      <c r="BJ185" s="141"/>
      <c r="BK185" s="141"/>
      <c r="BL185" s="141"/>
      <c r="BM185" s="141"/>
    </row>
    <row r="186" spans="1:65" ht="13.5" outlineLevel="2" x14ac:dyDescent="0.2">
      <c r="A186" s="133"/>
      <c r="B186" s="287" t="s">
        <v>12</v>
      </c>
      <c r="C186" s="299" t="s">
        <v>264</v>
      </c>
      <c r="D186" s="300"/>
      <c r="E186" s="290">
        <v>0</v>
      </c>
      <c r="F186" s="290">
        <v>0</v>
      </c>
      <c r="G186" s="291" t="s">
        <v>106</v>
      </c>
      <c r="H186" s="292"/>
      <c r="I186" s="292"/>
      <c r="J186" s="286"/>
      <c r="K186" s="176"/>
      <c r="L186" s="141"/>
      <c r="M186" s="141"/>
      <c r="N186" s="141"/>
      <c r="O186" s="141"/>
      <c r="P186" s="141"/>
      <c r="Q186" s="141"/>
      <c r="R186" s="141"/>
      <c r="S186" s="141"/>
      <c r="T186" s="141"/>
      <c r="U186" s="141"/>
      <c r="V186" s="141"/>
      <c r="W186" s="141"/>
      <c r="X186" s="141"/>
      <c r="Y186" s="141"/>
      <c r="Z186" s="141"/>
      <c r="AA186" s="141"/>
      <c r="AB186" s="141"/>
      <c r="AC186" s="141"/>
      <c r="AD186" s="141"/>
      <c r="AE186" s="141"/>
      <c r="AF186" s="141"/>
      <c r="AG186" s="141"/>
      <c r="AH186" s="141"/>
      <c r="AI186" s="141"/>
      <c r="AJ186" s="141"/>
      <c r="AK186" s="141"/>
      <c r="AL186" s="141"/>
      <c r="AM186" s="141"/>
      <c r="AN186" s="141"/>
      <c r="AO186" s="141"/>
      <c r="AP186" s="141"/>
      <c r="AQ186" s="141"/>
      <c r="AR186" s="141"/>
      <c r="AS186" s="141"/>
      <c r="AT186" s="141"/>
      <c r="AU186" s="141"/>
      <c r="AV186" s="141"/>
      <c r="AW186" s="141"/>
      <c r="AX186" s="141"/>
      <c r="AY186" s="141"/>
      <c r="AZ186" s="141"/>
      <c r="BA186" s="141"/>
      <c r="BB186" s="141"/>
      <c r="BC186" s="141"/>
      <c r="BD186" s="141"/>
      <c r="BE186" s="141"/>
      <c r="BF186" s="141"/>
      <c r="BG186" s="141"/>
      <c r="BH186" s="141"/>
      <c r="BI186" s="141"/>
      <c r="BJ186" s="141"/>
      <c r="BK186" s="141"/>
      <c r="BL186" s="141"/>
      <c r="BM186" s="141"/>
    </row>
    <row r="187" spans="1:65" ht="13.5" outlineLevel="2" x14ac:dyDescent="0.2">
      <c r="A187" s="133"/>
      <c r="B187" s="280"/>
      <c r="C187" s="299" t="s">
        <v>265</v>
      </c>
      <c r="D187" s="300"/>
      <c r="E187" s="317" t="s">
        <v>139</v>
      </c>
      <c r="F187" s="317" t="s">
        <v>139</v>
      </c>
      <c r="G187" s="302" t="s">
        <v>143</v>
      </c>
      <c r="H187" s="292"/>
      <c r="I187" s="292"/>
      <c r="J187" s="286"/>
      <c r="K187" s="176"/>
      <c r="L187" s="141"/>
      <c r="M187" s="141"/>
      <c r="N187" s="141"/>
      <c r="O187" s="141"/>
      <c r="P187" s="141"/>
      <c r="Q187" s="141"/>
      <c r="R187" s="141"/>
      <c r="S187" s="141"/>
      <c r="T187" s="141"/>
      <c r="U187" s="141"/>
      <c r="V187" s="141"/>
      <c r="W187" s="141"/>
      <c r="X187" s="141"/>
      <c r="Y187" s="141"/>
      <c r="Z187" s="141"/>
      <c r="AA187" s="141"/>
      <c r="AB187" s="141"/>
      <c r="AC187" s="141"/>
      <c r="AD187" s="141"/>
      <c r="AE187" s="141"/>
      <c r="AF187" s="141"/>
      <c r="AG187" s="141"/>
      <c r="AH187" s="141"/>
      <c r="AI187" s="141"/>
      <c r="AJ187" s="141"/>
      <c r="AK187" s="141"/>
      <c r="AL187" s="141"/>
      <c r="AM187" s="141"/>
      <c r="AN187" s="141"/>
      <c r="AO187" s="141"/>
      <c r="AP187" s="141"/>
      <c r="AQ187" s="141"/>
      <c r="AR187" s="141"/>
      <c r="AS187" s="141"/>
      <c r="AT187" s="141"/>
      <c r="AU187" s="141"/>
      <c r="AV187" s="141"/>
      <c r="AW187" s="141"/>
      <c r="AX187" s="141"/>
      <c r="AY187" s="141"/>
      <c r="AZ187" s="141"/>
      <c r="BA187" s="141"/>
      <c r="BB187" s="141"/>
      <c r="BC187" s="141"/>
      <c r="BD187" s="141"/>
      <c r="BE187" s="141"/>
      <c r="BF187" s="141"/>
      <c r="BG187" s="141"/>
      <c r="BH187" s="141"/>
      <c r="BI187" s="141"/>
      <c r="BJ187" s="141"/>
      <c r="BK187" s="141"/>
      <c r="BL187" s="141"/>
      <c r="BM187" s="141"/>
    </row>
    <row r="188" spans="1:65" ht="13.5" outlineLevel="2" x14ac:dyDescent="0.2">
      <c r="A188" s="133"/>
      <c r="B188" s="280"/>
      <c r="C188" s="299" t="s">
        <v>266</v>
      </c>
      <c r="D188" s="300"/>
      <c r="E188" s="317" t="s">
        <v>139</v>
      </c>
      <c r="F188" s="317" t="s">
        <v>139</v>
      </c>
      <c r="G188" s="302" t="s">
        <v>143</v>
      </c>
      <c r="H188" s="292"/>
      <c r="I188" s="292"/>
      <c r="J188" s="286"/>
      <c r="K188" s="176"/>
      <c r="L188" s="141"/>
      <c r="M188" s="141"/>
      <c r="N188" s="141"/>
      <c r="O188" s="141"/>
      <c r="P188" s="141"/>
      <c r="Q188" s="141"/>
      <c r="R188" s="141"/>
      <c r="S188" s="141"/>
      <c r="T188" s="141"/>
      <c r="U188" s="141"/>
      <c r="V188" s="141"/>
      <c r="W188" s="141"/>
      <c r="X188" s="141"/>
      <c r="Y188" s="141"/>
      <c r="Z188" s="141"/>
      <c r="AA188" s="141"/>
      <c r="AB188" s="141"/>
      <c r="AC188" s="141"/>
      <c r="AD188" s="141"/>
      <c r="AE188" s="141"/>
      <c r="AF188" s="141"/>
      <c r="AG188" s="141"/>
      <c r="AH188" s="141"/>
      <c r="AI188" s="141"/>
      <c r="AJ188" s="141"/>
      <c r="AK188" s="141"/>
      <c r="AL188" s="141"/>
      <c r="AM188" s="141"/>
      <c r="AN188" s="141"/>
      <c r="AO188" s="141"/>
      <c r="AP188" s="141"/>
      <c r="AQ188" s="141"/>
      <c r="AR188" s="141"/>
      <c r="AS188" s="141"/>
      <c r="AT188" s="141"/>
      <c r="AU188" s="141"/>
      <c r="AV188" s="141"/>
      <c r="AW188" s="141"/>
      <c r="AX188" s="141"/>
      <c r="AY188" s="141"/>
      <c r="AZ188" s="141"/>
      <c r="BA188" s="141"/>
      <c r="BB188" s="141"/>
      <c r="BC188" s="141"/>
      <c r="BD188" s="141"/>
      <c r="BE188" s="141"/>
      <c r="BF188" s="141"/>
      <c r="BG188" s="141"/>
      <c r="BH188" s="141"/>
      <c r="BI188" s="141"/>
      <c r="BJ188" s="141"/>
      <c r="BK188" s="141"/>
      <c r="BL188" s="141"/>
      <c r="BM188" s="141"/>
    </row>
    <row r="189" spans="1:65" ht="13.5" outlineLevel="2" x14ac:dyDescent="0.2">
      <c r="A189" s="133"/>
      <c r="B189" s="280"/>
      <c r="C189" s="299" t="s">
        <v>267</v>
      </c>
      <c r="D189" s="300"/>
      <c r="E189" s="317" t="s">
        <v>139</v>
      </c>
      <c r="F189" s="317" t="s">
        <v>139</v>
      </c>
      <c r="G189" s="302" t="s">
        <v>143</v>
      </c>
      <c r="H189" s="292"/>
      <c r="I189" s="292"/>
      <c r="J189" s="286"/>
      <c r="K189" s="176"/>
      <c r="L189" s="141"/>
      <c r="M189" s="141"/>
      <c r="N189" s="141"/>
      <c r="O189" s="141"/>
      <c r="P189" s="141"/>
      <c r="Q189" s="141"/>
      <c r="R189" s="141"/>
      <c r="S189" s="141"/>
      <c r="T189" s="141"/>
      <c r="U189" s="141"/>
      <c r="V189" s="141"/>
      <c r="W189" s="141"/>
      <c r="X189" s="141"/>
      <c r="Y189" s="141"/>
      <c r="Z189" s="141"/>
      <c r="AA189" s="141"/>
      <c r="AB189" s="141"/>
      <c r="AC189" s="141"/>
      <c r="AD189" s="141"/>
      <c r="AE189" s="141"/>
      <c r="AF189" s="141"/>
      <c r="AG189" s="141"/>
      <c r="AH189" s="141"/>
      <c r="AI189" s="141"/>
      <c r="AJ189" s="141"/>
      <c r="AK189" s="141"/>
      <c r="AL189" s="141"/>
      <c r="AM189" s="141"/>
      <c r="AN189" s="141"/>
      <c r="AO189" s="141"/>
      <c r="AP189" s="141"/>
      <c r="AQ189" s="141"/>
      <c r="AR189" s="141"/>
      <c r="AS189" s="141"/>
      <c r="AT189" s="141"/>
      <c r="AU189" s="141"/>
      <c r="AV189" s="141"/>
      <c r="AW189" s="141"/>
      <c r="AX189" s="141"/>
      <c r="AY189" s="141"/>
      <c r="AZ189" s="141"/>
      <c r="BA189" s="141"/>
      <c r="BB189" s="141"/>
      <c r="BC189" s="141"/>
      <c r="BD189" s="141"/>
      <c r="BE189" s="141"/>
      <c r="BF189" s="141"/>
      <c r="BG189" s="141"/>
      <c r="BH189" s="141"/>
      <c r="BI189" s="141"/>
      <c r="BJ189" s="141"/>
      <c r="BK189" s="141"/>
      <c r="BL189" s="141"/>
      <c r="BM189" s="141"/>
    </row>
    <row r="190" spans="1:65" ht="16.5" customHeight="1" outlineLevel="2" x14ac:dyDescent="0.2">
      <c r="A190" s="133"/>
      <c r="B190" s="294"/>
      <c r="C190" s="295" t="s">
        <v>268</v>
      </c>
      <c r="D190" s="296"/>
      <c r="E190" s="298">
        <f>E$186*VLOOKUP(E$184,Données!$B$352:$G$355,3,FALSE())*VLOOKUP(E$187,Données!$B$357:$G$361,3,FALSE())*VLOOKUP(E$188,Données!$B$362:$G$365,3,FALSE())*VLOOKUP(E$189,Données!$B$366:$G$369,3,FALSE())</f>
        <v>0</v>
      </c>
      <c r="F190" s="298">
        <f>F$186*VLOOKUP(F$184,Données!$B$352:$G$355,5,FALSE())*VLOOKUP(F$187,Données!$B$357:$G$361,5,FALSE())*VLOOKUP(F$188,Données!$B$362:$G$365,5,FALSE())*VLOOKUP(F$189,Données!$B$366:$G$369,5,FALSE())</f>
        <v>0</v>
      </c>
      <c r="G190" s="291" t="s">
        <v>258</v>
      </c>
      <c r="H190" s="292">
        <f>E190*Données!$D370</f>
        <v>0</v>
      </c>
      <c r="I190" s="292">
        <f>F190*Données!$D370</f>
        <v>0</v>
      </c>
      <c r="J190" s="310"/>
      <c r="K190" s="176"/>
      <c r="L190" s="141"/>
      <c r="M190" s="141"/>
      <c r="N190" s="141"/>
      <c r="O190" s="141"/>
      <c r="P190" s="141"/>
      <c r="Q190" s="141"/>
      <c r="R190" s="141"/>
      <c r="S190" s="141"/>
      <c r="T190" s="141"/>
      <c r="U190" s="141"/>
      <c r="V190" s="141"/>
      <c r="W190" s="141"/>
      <c r="X190" s="141"/>
      <c r="Y190" s="141"/>
      <c r="Z190" s="141"/>
      <c r="AA190" s="141"/>
      <c r="AB190" s="141"/>
      <c r="AC190" s="141"/>
      <c r="AD190" s="141"/>
      <c r="AE190" s="141"/>
      <c r="AF190" s="141"/>
      <c r="AG190" s="141"/>
      <c r="AH190" s="141"/>
      <c r="AI190" s="141"/>
      <c r="AJ190" s="141"/>
      <c r="AK190" s="141"/>
      <c r="AL190" s="141"/>
      <c r="AM190" s="141"/>
      <c r="AN190" s="141"/>
      <c r="AO190" s="141"/>
      <c r="AP190" s="141"/>
      <c r="AQ190" s="141"/>
      <c r="AR190" s="141"/>
      <c r="AS190" s="141"/>
      <c r="AT190" s="141"/>
      <c r="AU190" s="141"/>
      <c r="AV190" s="141"/>
      <c r="AW190" s="141"/>
      <c r="AX190" s="141"/>
      <c r="AY190" s="141"/>
      <c r="AZ190" s="141"/>
      <c r="BA190" s="141"/>
      <c r="BB190" s="141"/>
      <c r="BC190" s="141"/>
      <c r="BD190" s="141"/>
      <c r="BE190" s="141"/>
      <c r="BF190" s="141"/>
      <c r="BG190" s="141"/>
      <c r="BH190" s="141"/>
      <c r="BI190" s="141"/>
      <c r="BJ190" s="141"/>
      <c r="BK190" s="141"/>
      <c r="BL190" s="141"/>
      <c r="BM190" s="141"/>
    </row>
    <row r="191" spans="1:65" ht="5.25" customHeight="1" outlineLevel="2" x14ac:dyDescent="0.2">
      <c r="A191" s="133"/>
      <c r="B191" s="311"/>
      <c r="C191" s="312"/>
      <c r="D191" s="313"/>
      <c r="E191" s="314"/>
      <c r="F191" s="314"/>
      <c r="G191" s="315"/>
      <c r="H191" s="314"/>
      <c r="I191" s="314"/>
      <c r="J191" s="286"/>
      <c r="K191" s="144"/>
      <c r="L191" s="141"/>
      <c r="M191" s="141"/>
      <c r="N191" s="141"/>
      <c r="O191" s="141"/>
      <c r="P191" s="141"/>
      <c r="Q191" s="141"/>
      <c r="R191" s="141"/>
      <c r="S191" s="141"/>
      <c r="T191" s="141"/>
      <c r="U191" s="141"/>
      <c r="V191" s="141"/>
      <c r="W191" s="141"/>
      <c r="X191" s="141"/>
      <c r="Y191" s="141"/>
      <c r="Z191" s="141"/>
      <c r="AA191" s="141"/>
      <c r="AB191" s="141"/>
      <c r="AC191" s="141"/>
      <c r="AD191" s="141"/>
      <c r="AE191" s="141"/>
      <c r="AF191" s="141"/>
      <c r="AG191" s="141"/>
      <c r="AH191" s="141"/>
      <c r="AI191" s="141"/>
      <c r="AJ191" s="141"/>
      <c r="AK191" s="141"/>
      <c r="AL191" s="141"/>
      <c r="AM191" s="141"/>
      <c r="AN191" s="141"/>
      <c r="AO191" s="141"/>
      <c r="AP191" s="141"/>
      <c r="AQ191" s="141"/>
      <c r="AR191" s="141"/>
      <c r="AS191" s="141"/>
      <c r="AT191" s="141"/>
      <c r="AU191" s="141"/>
      <c r="AV191" s="141"/>
      <c r="AW191" s="141"/>
      <c r="AX191" s="141"/>
      <c r="AY191" s="141"/>
      <c r="AZ191" s="141"/>
      <c r="BA191" s="141"/>
      <c r="BB191" s="141"/>
      <c r="BC191" s="141"/>
      <c r="BD191" s="141"/>
      <c r="BE191" s="141"/>
      <c r="BF191" s="141"/>
      <c r="BG191" s="141"/>
      <c r="BH191" s="141"/>
      <c r="BI191" s="141"/>
      <c r="BJ191" s="141"/>
      <c r="BK191" s="141"/>
      <c r="BL191" s="141"/>
      <c r="BM191" s="141"/>
    </row>
    <row r="192" spans="1:65" ht="13.5" outlineLevel="2" x14ac:dyDescent="0.2">
      <c r="A192" s="133"/>
      <c r="B192" s="287" t="str">
        <f>$C$17</f>
        <v>Bureaux</v>
      </c>
      <c r="C192" s="299" t="s">
        <v>264</v>
      </c>
      <c r="D192" s="300"/>
      <c r="E192" s="290">
        <v>0</v>
      </c>
      <c r="F192" s="290">
        <v>0</v>
      </c>
      <c r="G192" s="291" t="s">
        <v>106</v>
      </c>
      <c r="H192" s="292"/>
      <c r="I192" s="292"/>
      <c r="J192" s="286"/>
      <c r="K192" s="176"/>
      <c r="L192" s="141"/>
      <c r="M192" s="141"/>
      <c r="N192" s="141"/>
      <c r="O192" s="141"/>
      <c r="P192" s="141"/>
      <c r="Q192" s="141"/>
      <c r="R192" s="141"/>
      <c r="S192" s="141"/>
      <c r="T192" s="141"/>
      <c r="U192" s="141"/>
      <c r="V192" s="141"/>
      <c r="W192" s="141"/>
      <c r="X192" s="141"/>
      <c r="Y192" s="141"/>
      <c r="Z192" s="141"/>
      <c r="AA192" s="141"/>
      <c r="AB192" s="141"/>
      <c r="AC192" s="141"/>
      <c r="AD192" s="141"/>
      <c r="AE192" s="141"/>
      <c r="AF192" s="141"/>
      <c r="AG192" s="141"/>
      <c r="AH192" s="141"/>
      <c r="AI192" s="141"/>
      <c r="AJ192" s="141"/>
      <c r="AK192" s="141"/>
      <c r="AL192" s="141"/>
      <c r="AM192" s="141"/>
      <c r="AN192" s="141"/>
      <c r="AO192" s="141"/>
      <c r="AP192" s="141"/>
      <c r="AQ192" s="141"/>
      <c r="AR192" s="141"/>
      <c r="AS192" s="141"/>
      <c r="AT192" s="141"/>
      <c r="AU192" s="141"/>
      <c r="AV192" s="141"/>
      <c r="AW192" s="141"/>
      <c r="AX192" s="141"/>
      <c r="AY192" s="141"/>
      <c r="AZ192" s="141"/>
      <c r="BA192" s="141"/>
      <c r="BB192" s="141"/>
      <c r="BC192" s="141"/>
      <c r="BD192" s="141"/>
      <c r="BE192" s="141"/>
      <c r="BF192" s="141"/>
      <c r="BG192" s="141"/>
      <c r="BH192" s="141"/>
      <c r="BI192" s="141"/>
      <c r="BJ192" s="141"/>
      <c r="BK192" s="141"/>
      <c r="BL192" s="141"/>
      <c r="BM192" s="141"/>
    </row>
    <row r="193" spans="1:65" ht="13.5" outlineLevel="2" x14ac:dyDescent="0.2">
      <c r="A193" s="133"/>
      <c r="B193" s="280"/>
      <c r="C193" s="299" t="s">
        <v>265</v>
      </c>
      <c r="D193" s="300"/>
      <c r="E193" s="317" t="s">
        <v>139</v>
      </c>
      <c r="F193" s="317" t="s">
        <v>139</v>
      </c>
      <c r="G193" s="302" t="s">
        <v>143</v>
      </c>
      <c r="H193" s="292"/>
      <c r="I193" s="292"/>
      <c r="J193" s="286"/>
      <c r="K193" s="176"/>
      <c r="L193" s="141"/>
      <c r="M193" s="141"/>
      <c r="N193" s="141"/>
      <c r="O193" s="141"/>
      <c r="P193" s="141"/>
      <c r="Q193" s="141"/>
      <c r="R193" s="141"/>
      <c r="S193" s="141"/>
      <c r="T193" s="141"/>
      <c r="U193" s="141"/>
      <c r="V193" s="141"/>
      <c r="W193" s="141"/>
      <c r="X193" s="141"/>
      <c r="Y193" s="141"/>
      <c r="Z193" s="141"/>
      <c r="AA193" s="141"/>
      <c r="AB193" s="141"/>
      <c r="AC193" s="141"/>
      <c r="AD193" s="141"/>
      <c r="AE193" s="141"/>
      <c r="AF193" s="141"/>
      <c r="AG193" s="141"/>
      <c r="AH193" s="141"/>
      <c r="AI193" s="141"/>
      <c r="AJ193" s="141"/>
      <c r="AK193" s="141"/>
      <c r="AL193" s="141"/>
      <c r="AM193" s="141"/>
      <c r="AN193" s="141"/>
      <c r="AO193" s="141"/>
      <c r="AP193" s="141"/>
      <c r="AQ193" s="141"/>
      <c r="AR193" s="141"/>
      <c r="AS193" s="141"/>
      <c r="AT193" s="141"/>
      <c r="AU193" s="141"/>
      <c r="AV193" s="141"/>
      <c r="AW193" s="141"/>
      <c r="AX193" s="141"/>
      <c r="AY193" s="141"/>
      <c r="AZ193" s="141"/>
      <c r="BA193" s="141"/>
      <c r="BB193" s="141"/>
      <c r="BC193" s="141"/>
      <c r="BD193" s="141"/>
      <c r="BE193" s="141"/>
      <c r="BF193" s="141"/>
      <c r="BG193" s="141"/>
      <c r="BH193" s="141"/>
      <c r="BI193" s="141"/>
      <c r="BJ193" s="141"/>
      <c r="BK193" s="141"/>
      <c r="BL193" s="141"/>
      <c r="BM193" s="141"/>
    </row>
    <row r="194" spans="1:65" ht="13.5" outlineLevel="2" x14ac:dyDescent="0.2">
      <c r="A194" s="133"/>
      <c r="B194" s="280"/>
      <c r="C194" s="299" t="s">
        <v>266</v>
      </c>
      <c r="D194" s="300"/>
      <c r="E194" s="317" t="s">
        <v>139</v>
      </c>
      <c r="F194" s="317" t="s">
        <v>139</v>
      </c>
      <c r="G194" s="302" t="s">
        <v>143</v>
      </c>
      <c r="H194" s="292"/>
      <c r="I194" s="292"/>
      <c r="J194" s="286"/>
      <c r="K194" s="176"/>
      <c r="L194" s="141"/>
      <c r="M194" s="141"/>
      <c r="N194" s="141"/>
      <c r="O194" s="141"/>
      <c r="P194" s="141"/>
      <c r="Q194" s="141"/>
      <c r="R194" s="141"/>
      <c r="S194" s="141"/>
      <c r="T194" s="141"/>
      <c r="U194" s="141"/>
      <c r="V194" s="141"/>
      <c r="W194" s="141"/>
      <c r="X194" s="141"/>
      <c r="Y194" s="141"/>
      <c r="Z194" s="141"/>
      <c r="AA194" s="141"/>
      <c r="AB194" s="141"/>
      <c r="AC194" s="141"/>
      <c r="AD194" s="141"/>
      <c r="AE194" s="141"/>
      <c r="AF194" s="141"/>
      <c r="AG194" s="141"/>
      <c r="AH194" s="141"/>
      <c r="AI194" s="141"/>
      <c r="AJ194" s="141"/>
      <c r="AK194" s="141"/>
      <c r="AL194" s="141"/>
      <c r="AM194" s="141"/>
      <c r="AN194" s="141"/>
      <c r="AO194" s="141"/>
      <c r="AP194" s="141"/>
      <c r="AQ194" s="141"/>
      <c r="AR194" s="141"/>
      <c r="AS194" s="141"/>
      <c r="AT194" s="141"/>
      <c r="AU194" s="141"/>
      <c r="AV194" s="141"/>
      <c r="AW194" s="141"/>
      <c r="AX194" s="141"/>
      <c r="AY194" s="141"/>
      <c r="AZ194" s="141"/>
      <c r="BA194" s="141"/>
      <c r="BB194" s="141"/>
      <c r="BC194" s="141"/>
      <c r="BD194" s="141"/>
      <c r="BE194" s="141"/>
      <c r="BF194" s="141"/>
      <c r="BG194" s="141"/>
      <c r="BH194" s="141"/>
      <c r="BI194" s="141"/>
      <c r="BJ194" s="141"/>
      <c r="BK194" s="141"/>
      <c r="BL194" s="141"/>
      <c r="BM194" s="141"/>
    </row>
    <row r="195" spans="1:65" ht="13.5" outlineLevel="2" x14ac:dyDescent="0.2">
      <c r="A195" s="133"/>
      <c r="B195" s="280"/>
      <c r="C195" s="299" t="s">
        <v>267</v>
      </c>
      <c r="D195" s="300"/>
      <c r="E195" s="317" t="s">
        <v>139</v>
      </c>
      <c r="F195" s="317" t="s">
        <v>139</v>
      </c>
      <c r="G195" s="302" t="s">
        <v>143</v>
      </c>
      <c r="H195" s="292"/>
      <c r="I195" s="292"/>
      <c r="J195" s="286"/>
      <c r="K195" s="176"/>
      <c r="L195" s="141"/>
      <c r="M195" s="141"/>
      <c r="N195" s="141"/>
      <c r="O195" s="141"/>
      <c r="P195" s="141"/>
      <c r="Q195" s="141"/>
      <c r="R195" s="141"/>
      <c r="S195" s="141"/>
      <c r="T195" s="141"/>
      <c r="U195" s="141"/>
      <c r="V195" s="141"/>
      <c r="W195" s="141"/>
      <c r="X195" s="141"/>
      <c r="Y195" s="141"/>
      <c r="Z195" s="141"/>
      <c r="AA195" s="141"/>
      <c r="AB195" s="141"/>
      <c r="AC195" s="141"/>
      <c r="AD195" s="141"/>
      <c r="AE195" s="141"/>
      <c r="AF195" s="141"/>
      <c r="AG195" s="141"/>
      <c r="AH195" s="141"/>
      <c r="AI195" s="141"/>
      <c r="AJ195" s="141"/>
      <c r="AK195" s="141"/>
      <c r="AL195" s="141"/>
      <c r="AM195" s="141"/>
      <c r="AN195" s="141"/>
      <c r="AO195" s="141"/>
      <c r="AP195" s="141"/>
      <c r="AQ195" s="141"/>
      <c r="AR195" s="141"/>
      <c r="AS195" s="141"/>
      <c r="AT195" s="141"/>
      <c r="AU195" s="141"/>
      <c r="AV195" s="141"/>
      <c r="AW195" s="141"/>
      <c r="AX195" s="141"/>
      <c r="AY195" s="141"/>
      <c r="AZ195" s="141"/>
      <c r="BA195" s="141"/>
      <c r="BB195" s="141"/>
      <c r="BC195" s="141"/>
      <c r="BD195" s="141"/>
      <c r="BE195" s="141"/>
      <c r="BF195" s="141"/>
      <c r="BG195" s="141"/>
      <c r="BH195" s="141"/>
      <c r="BI195" s="141"/>
      <c r="BJ195" s="141"/>
      <c r="BK195" s="141"/>
      <c r="BL195" s="141"/>
      <c r="BM195" s="141"/>
    </row>
    <row r="196" spans="1:65" ht="16.5" customHeight="1" outlineLevel="2" x14ac:dyDescent="0.2">
      <c r="A196" s="133"/>
      <c r="B196" s="294"/>
      <c r="C196" s="295" t="str">
        <f>CONCATENATE("consommation électrique ",B192)</f>
        <v>consommation électrique Bureaux</v>
      </c>
      <c r="D196" s="296"/>
      <c r="E196" s="298">
        <f>E$192*VLOOKUP(E$184,Données!$B$352:$G$355,3,FALSE())*IF($B$192=Données!$A$372,VLOOKUP(E$193,Données!$B$373:$G$377,3,FALSE()),IF($B$192=Données!$A$378,VLOOKUP(E$193,Données!$B$379:$G$383,3,FALSE()),IF($B$192=Données!$A$384,VLOOKUP(E$193,Données!$B$385:$G$389,3,VLOOKUP(E$193,Données!$B$391:$G$395,3,FALSE()))))*VLOOKUP(E$194,Données!$B$396:$G$399,3,FALSE())*VLOOKUP(E$195,Données!$B$400:$G$403,3,FALSE()))</f>
        <v>0</v>
      </c>
      <c r="F196" s="298">
        <f>F$192*VLOOKUP(F$184,Données!$B$352:$G$355,5,FALSE())*IF($B$192=Données!$A$372,VLOOKUP(F$193,Données!$B$373:$G$377,5,FALSE()),IF($B$192=Données!$A$378,VLOOKUP(F$193,Données!$B$379:$G$383,5,FALSE()),IF($B$192=Données!$A$384,VLOOKUP(F$193,Données!$B$385:$G$389,5,VLOOKUP(F$193,Données!$B$391:$G$395,5,FALSE()))))*VLOOKUP(F$194,Données!$B$396:$G$399,5,FALSE())*VLOOKUP(F$195,Données!$B$400:$G$403,5,FALSE()))</f>
        <v>0</v>
      </c>
      <c r="G196" s="291" t="s">
        <v>258</v>
      </c>
      <c r="H196" s="292">
        <f>E196*Données!$D404</f>
        <v>0</v>
      </c>
      <c r="I196" s="292">
        <f>F196*Données!$D404</f>
        <v>0</v>
      </c>
      <c r="J196" s="310"/>
      <c r="K196" s="176"/>
      <c r="L196" s="141"/>
      <c r="M196" s="141"/>
      <c r="N196" s="141"/>
      <c r="O196" s="141"/>
      <c r="P196" s="141"/>
      <c r="Q196" s="141"/>
      <c r="R196" s="141"/>
      <c r="S196" s="141"/>
      <c r="T196" s="141"/>
      <c r="U196" s="141"/>
      <c r="V196" s="141"/>
      <c r="W196" s="141"/>
      <c r="X196" s="141"/>
      <c r="Y196" s="141"/>
      <c r="Z196" s="141"/>
      <c r="AA196" s="141"/>
      <c r="AB196" s="141"/>
      <c r="AC196" s="141"/>
      <c r="AD196" s="141"/>
      <c r="AE196" s="141"/>
      <c r="AF196" s="141"/>
      <c r="AG196" s="141"/>
      <c r="AH196" s="141"/>
      <c r="AI196" s="141"/>
      <c r="AJ196" s="141"/>
      <c r="AK196" s="141"/>
      <c r="AL196" s="141"/>
      <c r="AM196" s="141"/>
      <c r="AN196" s="141"/>
      <c r="AO196" s="141"/>
      <c r="AP196" s="141"/>
      <c r="AQ196" s="141"/>
      <c r="AR196" s="141"/>
      <c r="AS196" s="141"/>
      <c r="AT196" s="141"/>
      <c r="AU196" s="141"/>
      <c r="AV196" s="141"/>
      <c r="AW196" s="141"/>
      <c r="AX196" s="141"/>
      <c r="AY196" s="141"/>
      <c r="AZ196" s="141"/>
      <c r="BA196" s="141"/>
      <c r="BB196" s="141"/>
      <c r="BC196" s="141"/>
      <c r="BD196" s="141"/>
      <c r="BE196" s="141"/>
      <c r="BF196" s="141"/>
      <c r="BG196" s="141"/>
      <c r="BH196" s="141"/>
      <c r="BI196" s="141"/>
      <c r="BJ196" s="141"/>
      <c r="BK196" s="141"/>
      <c r="BL196" s="141"/>
      <c r="BM196" s="141"/>
    </row>
    <row r="197" spans="1:65" ht="5.25" customHeight="1" outlineLevel="2" x14ac:dyDescent="0.2">
      <c r="A197" s="133"/>
      <c r="B197" s="311"/>
      <c r="C197" s="312"/>
      <c r="D197" s="313"/>
      <c r="E197" s="314"/>
      <c r="F197" s="314"/>
      <c r="G197" s="315"/>
      <c r="H197" s="314"/>
      <c r="I197" s="314"/>
      <c r="J197" s="286"/>
      <c r="K197" s="144"/>
      <c r="L197" s="141"/>
      <c r="M197" s="141"/>
      <c r="N197" s="141"/>
      <c r="O197" s="141"/>
      <c r="P197" s="141"/>
      <c r="Q197" s="141"/>
      <c r="R197" s="141"/>
      <c r="S197" s="141"/>
      <c r="T197" s="141"/>
      <c r="U197" s="141"/>
      <c r="V197" s="141"/>
      <c r="W197" s="141"/>
      <c r="X197" s="141"/>
      <c r="Y197" s="141"/>
      <c r="Z197" s="141"/>
      <c r="AA197" s="141"/>
      <c r="AB197" s="141"/>
      <c r="AC197" s="141"/>
      <c r="AD197" s="141"/>
      <c r="AE197" s="141"/>
      <c r="AF197" s="141"/>
      <c r="AG197" s="141"/>
      <c r="AH197" s="141"/>
      <c r="AI197" s="141"/>
      <c r="AJ197" s="141"/>
      <c r="AK197" s="141"/>
      <c r="AL197" s="141"/>
      <c r="AM197" s="141"/>
      <c r="AN197" s="141"/>
      <c r="AO197" s="141"/>
      <c r="AP197" s="141"/>
      <c r="AQ197" s="141"/>
      <c r="AR197" s="141"/>
      <c r="AS197" s="141"/>
      <c r="AT197" s="141"/>
      <c r="AU197" s="141"/>
      <c r="AV197" s="141"/>
      <c r="AW197" s="141"/>
      <c r="AX197" s="141"/>
      <c r="AY197" s="141"/>
      <c r="AZ197" s="141"/>
      <c r="BA197" s="141"/>
      <c r="BB197" s="141"/>
      <c r="BC197" s="141"/>
      <c r="BD197" s="141"/>
      <c r="BE197" s="141"/>
      <c r="BF197" s="141"/>
      <c r="BG197" s="141"/>
      <c r="BH197" s="141"/>
      <c r="BI197" s="141"/>
      <c r="BJ197" s="141"/>
      <c r="BK197" s="141"/>
      <c r="BL197" s="141"/>
      <c r="BM197" s="141"/>
    </row>
    <row r="198" spans="1:65" ht="16.5" customHeight="1" outlineLevel="2" x14ac:dyDescent="0.2">
      <c r="A198" s="133"/>
      <c r="B198" s="294"/>
      <c r="C198" s="299" t="s">
        <v>259</v>
      </c>
      <c r="D198" s="300"/>
      <c r="E198" s="301" t="e">
        <f>(E190+E196)/E$18</f>
        <v>#DIV/0!</v>
      </c>
      <c r="F198" s="301" t="e">
        <f>(F190+F196)/F$18</f>
        <v>#DIV/0!</v>
      </c>
      <c r="G198" s="302" t="s">
        <v>260</v>
      </c>
      <c r="H198" s="292"/>
      <c r="I198" s="292"/>
      <c r="J198" s="310"/>
      <c r="K198" s="176"/>
      <c r="L198" s="141"/>
      <c r="M198" s="141"/>
      <c r="N198" s="141"/>
      <c r="O198" s="141"/>
      <c r="P198" s="141"/>
      <c r="Q198" s="141"/>
      <c r="R198" s="141"/>
      <c r="S198" s="141"/>
      <c r="T198" s="141"/>
      <c r="U198" s="141"/>
      <c r="V198" s="141"/>
      <c r="W198" s="141"/>
      <c r="X198" s="141"/>
      <c r="Y198" s="141"/>
      <c r="Z198" s="141"/>
      <c r="AA198" s="141"/>
      <c r="AB198" s="141"/>
      <c r="AC198" s="141"/>
      <c r="AD198" s="141"/>
      <c r="AE198" s="141"/>
      <c r="AF198" s="141"/>
      <c r="AG198" s="141"/>
      <c r="AH198" s="141"/>
      <c r="AI198" s="141"/>
      <c r="AJ198" s="141"/>
      <c r="AK198" s="141"/>
      <c r="AL198" s="141"/>
      <c r="AM198" s="141"/>
      <c r="AN198" s="141"/>
      <c r="AO198" s="141"/>
      <c r="AP198" s="141"/>
      <c r="AQ198" s="141"/>
      <c r="AR198" s="141"/>
      <c r="AS198" s="141"/>
      <c r="AT198" s="141"/>
      <c r="AU198" s="141"/>
      <c r="AV198" s="141"/>
      <c r="AW198" s="141"/>
      <c r="AX198" s="141"/>
      <c r="AY198" s="141"/>
      <c r="AZ198" s="141"/>
      <c r="BA198" s="141"/>
      <c r="BB198" s="141"/>
      <c r="BC198" s="141"/>
      <c r="BD198" s="141"/>
      <c r="BE198" s="141"/>
      <c r="BF198" s="141"/>
      <c r="BG198" s="141"/>
      <c r="BH198" s="141"/>
      <c r="BI198" s="141"/>
      <c r="BJ198" s="141"/>
      <c r="BK198" s="141"/>
      <c r="BL198" s="141"/>
      <c r="BM198" s="141"/>
    </row>
    <row r="199" spans="1:65" ht="13.5" outlineLevel="1" x14ac:dyDescent="0.2">
      <c r="A199" s="133"/>
      <c r="B199" s="216"/>
      <c r="C199" s="171"/>
      <c r="D199" s="178"/>
      <c r="E199" s="179"/>
      <c r="F199" s="303"/>
      <c r="G199" s="304"/>
      <c r="H199" s="144"/>
      <c r="I199" s="144"/>
      <c r="J199" s="163"/>
      <c r="K199" s="144"/>
      <c r="L199" s="141"/>
      <c r="M199" s="141"/>
      <c r="N199" s="141"/>
      <c r="O199" s="141"/>
      <c r="P199" s="141"/>
      <c r="Q199" s="141"/>
      <c r="R199" s="141"/>
      <c r="S199" s="141"/>
      <c r="T199" s="141"/>
      <c r="U199" s="141"/>
      <c r="V199" s="141"/>
      <c r="W199" s="141"/>
      <c r="X199" s="141"/>
      <c r="Y199" s="141"/>
      <c r="Z199" s="141"/>
      <c r="AA199" s="141"/>
      <c r="AB199" s="141"/>
      <c r="AC199" s="141"/>
      <c r="AD199" s="141"/>
      <c r="AE199" s="141"/>
      <c r="AF199" s="141"/>
      <c r="AG199" s="141"/>
      <c r="AH199" s="141"/>
      <c r="AI199" s="141"/>
      <c r="AJ199" s="141"/>
      <c r="AK199" s="141"/>
      <c r="AL199" s="141"/>
      <c r="AM199" s="141"/>
      <c r="AN199" s="141"/>
      <c r="AO199" s="141"/>
      <c r="AP199" s="141"/>
      <c r="AQ199" s="141"/>
      <c r="AR199" s="141"/>
      <c r="AS199" s="141"/>
      <c r="AT199" s="141"/>
      <c r="AU199" s="141"/>
      <c r="AV199" s="141"/>
      <c r="AW199" s="141"/>
      <c r="AX199" s="141"/>
      <c r="AY199" s="141"/>
      <c r="AZ199" s="141"/>
      <c r="BA199" s="141"/>
      <c r="BB199" s="141"/>
      <c r="BC199" s="141"/>
      <c r="BD199" s="141"/>
      <c r="BE199" s="141"/>
      <c r="BF199" s="141"/>
      <c r="BG199" s="141"/>
      <c r="BH199" s="141"/>
      <c r="BI199" s="141"/>
      <c r="BJ199" s="141"/>
      <c r="BK199" s="141"/>
      <c r="BL199" s="141"/>
      <c r="BM199" s="141"/>
    </row>
    <row r="200" spans="1:65" ht="16.5" customHeight="1" outlineLevel="1" x14ac:dyDescent="0.2">
      <c r="A200" s="133"/>
      <c r="B200" s="272" t="s">
        <v>269</v>
      </c>
      <c r="C200" s="273"/>
      <c r="D200" s="274" t="s">
        <v>270</v>
      </c>
      <c r="E200" s="277"/>
      <c r="F200" s="277"/>
      <c r="G200" s="305"/>
      <c r="H200" s="277"/>
      <c r="I200" s="277"/>
      <c r="J200" s="278"/>
      <c r="K200" s="279"/>
      <c r="L200" s="141"/>
      <c r="M200" s="141"/>
      <c r="N200" s="141"/>
      <c r="O200" s="141"/>
      <c r="P200" s="141"/>
      <c r="Q200" s="141"/>
      <c r="R200" s="141"/>
      <c r="S200" s="141"/>
      <c r="T200" s="141"/>
      <c r="U200" s="141"/>
      <c r="V200" s="141"/>
      <c r="W200" s="141"/>
      <c r="X200" s="141"/>
      <c r="Y200" s="141"/>
      <c r="Z200" s="141"/>
      <c r="AA200" s="141"/>
      <c r="AB200" s="141"/>
      <c r="AC200" s="141"/>
      <c r="AD200" s="141"/>
      <c r="AE200" s="141"/>
      <c r="AF200" s="141"/>
      <c r="AG200" s="141"/>
      <c r="AH200" s="141"/>
      <c r="AI200" s="141"/>
      <c r="AJ200" s="141"/>
      <c r="AK200" s="141"/>
      <c r="AL200" s="141"/>
      <c r="AM200" s="141"/>
      <c r="AN200" s="141"/>
      <c r="AO200" s="141"/>
      <c r="AP200" s="141"/>
      <c r="AQ200" s="141"/>
      <c r="AR200" s="141"/>
      <c r="AS200" s="141"/>
      <c r="AT200" s="141"/>
      <c r="AU200" s="141"/>
      <c r="AV200" s="141"/>
      <c r="AW200" s="141"/>
      <c r="AX200" s="141"/>
      <c r="AY200" s="141"/>
      <c r="AZ200" s="141"/>
      <c r="BA200" s="141"/>
      <c r="BB200" s="141"/>
      <c r="BC200" s="141"/>
      <c r="BD200" s="141"/>
      <c r="BE200" s="141"/>
      <c r="BF200" s="141"/>
      <c r="BG200" s="141"/>
      <c r="BH200" s="141"/>
      <c r="BI200" s="141"/>
      <c r="BJ200" s="141"/>
      <c r="BK200" s="141"/>
      <c r="BL200" s="141"/>
      <c r="BM200" s="141"/>
    </row>
    <row r="201" spans="1:65" ht="16.5" customHeight="1" outlineLevel="2" x14ac:dyDescent="0.2">
      <c r="A201" s="133"/>
      <c r="B201" s="306"/>
      <c r="C201" s="307" t="s">
        <v>263</v>
      </c>
      <c r="D201" s="308"/>
      <c r="E201" s="283" t="s">
        <v>139</v>
      </c>
      <c r="F201" s="283" t="s">
        <v>139</v>
      </c>
      <c r="G201" s="309" t="s">
        <v>143</v>
      </c>
      <c r="H201" s="285"/>
      <c r="I201" s="285"/>
      <c r="J201" s="310"/>
      <c r="K201" s="203"/>
      <c r="L201" s="141"/>
      <c r="M201" s="141"/>
      <c r="N201" s="141"/>
      <c r="O201" s="141"/>
      <c r="P201" s="141"/>
      <c r="Q201" s="141"/>
      <c r="R201" s="141"/>
      <c r="S201" s="141"/>
      <c r="T201" s="141"/>
      <c r="U201" s="141"/>
      <c r="V201" s="141"/>
      <c r="W201" s="141"/>
      <c r="X201" s="141"/>
      <c r="Y201" s="141"/>
      <c r="Z201" s="141"/>
      <c r="AA201" s="141"/>
      <c r="AB201" s="141"/>
      <c r="AC201" s="141"/>
      <c r="AD201" s="141"/>
      <c r="AE201" s="141"/>
      <c r="AF201" s="141"/>
      <c r="AG201" s="141"/>
      <c r="AH201" s="141"/>
      <c r="AI201" s="141"/>
      <c r="AJ201" s="141"/>
      <c r="AK201" s="141"/>
      <c r="AL201" s="141"/>
      <c r="AM201" s="141"/>
      <c r="AN201" s="141"/>
      <c r="AO201" s="141"/>
      <c r="AP201" s="141"/>
      <c r="AQ201" s="141"/>
      <c r="AR201" s="141"/>
      <c r="AS201" s="141"/>
      <c r="AT201" s="141"/>
      <c r="AU201" s="141"/>
      <c r="AV201" s="141"/>
      <c r="AW201" s="141"/>
      <c r="AX201" s="141"/>
      <c r="AY201" s="141"/>
      <c r="AZ201" s="141"/>
      <c r="BA201" s="141"/>
      <c r="BB201" s="141"/>
      <c r="BC201" s="141"/>
      <c r="BD201" s="141"/>
      <c r="BE201" s="141"/>
      <c r="BF201" s="141"/>
      <c r="BG201" s="141"/>
      <c r="BH201" s="141"/>
      <c r="BI201" s="141"/>
      <c r="BJ201" s="141"/>
      <c r="BK201" s="141"/>
      <c r="BL201" s="141"/>
      <c r="BM201" s="141"/>
    </row>
    <row r="202" spans="1:65" ht="5.25" customHeight="1" outlineLevel="2" x14ac:dyDescent="0.2">
      <c r="A202" s="133"/>
      <c r="B202" s="311"/>
      <c r="C202" s="312"/>
      <c r="D202" s="313"/>
      <c r="E202" s="314"/>
      <c r="F202" s="314"/>
      <c r="G202" s="315"/>
      <c r="H202" s="314"/>
      <c r="I202" s="314"/>
      <c r="J202" s="316"/>
      <c r="K202" s="144"/>
      <c r="L202" s="141"/>
      <c r="M202" s="141"/>
      <c r="N202" s="141"/>
      <c r="O202" s="141"/>
      <c r="P202" s="141"/>
      <c r="Q202" s="141"/>
      <c r="R202" s="141"/>
      <c r="S202" s="141"/>
      <c r="T202" s="141"/>
      <c r="U202" s="141"/>
      <c r="V202" s="141"/>
      <c r="W202" s="141"/>
      <c r="X202" s="141"/>
      <c r="Y202" s="141"/>
      <c r="Z202" s="141"/>
      <c r="AA202" s="141"/>
      <c r="AB202" s="141"/>
      <c r="AC202" s="141"/>
      <c r="AD202" s="141"/>
      <c r="AE202" s="141"/>
      <c r="AF202" s="141"/>
      <c r="AG202" s="141"/>
      <c r="AH202" s="141"/>
      <c r="AI202" s="141"/>
      <c r="AJ202" s="141"/>
      <c r="AK202" s="141"/>
      <c r="AL202" s="141"/>
      <c r="AM202" s="141"/>
      <c r="AN202" s="141"/>
      <c r="AO202" s="141"/>
      <c r="AP202" s="141"/>
      <c r="AQ202" s="141"/>
      <c r="AR202" s="141"/>
      <c r="AS202" s="141"/>
      <c r="AT202" s="141"/>
      <c r="AU202" s="141"/>
      <c r="AV202" s="141"/>
      <c r="AW202" s="141"/>
      <c r="AX202" s="141"/>
      <c r="AY202" s="141"/>
      <c r="AZ202" s="141"/>
      <c r="BA202" s="141"/>
      <c r="BB202" s="141"/>
      <c r="BC202" s="141"/>
      <c r="BD202" s="141"/>
      <c r="BE202" s="141"/>
      <c r="BF202" s="141"/>
      <c r="BG202" s="141"/>
      <c r="BH202" s="141"/>
      <c r="BI202" s="141"/>
      <c r="BJ202" s="141"/>
      <c r="BK202" s="141"/>
      <c r="BL202" s="141"/>
      <c r="BM202" s="141"/>
    </row>
    <row r="203" spans="1:65" ht="13.5" outlineLevel="2" x14ac:dyDescent="0.2">
      <c r="A203" s="133"/>
      <c r="B203" s="287" t="s">
        <v>12</v>
      </c>
      <c r="C203" s="288" t="s">
        <v>271</v>
      </c>
      <c r="D203" s="289"/>
      <c r="E203" s="1">
        <v>0</v>
      </c>
      <c r="F203" s="1">
        <v>0</v>
      </c>
      <c r="G203" s="293" t="s">
        <v>106</v>
      </c>
      <c r="H203" s="292"/>
      <c r="I203" s="292"/>
      <c r="J203" s="286"/>
      <c r="K203" s="176"/>
      <c r="L203" s="141"/>
      <c r="M203" s="141"/>
      <c r="N203" s="141"/>
      <c r="O203" s="141"/>
      <c r="P203" s="141"/>
      <c r="Q203" s="141"/>
      <c r="R203" s="141"/>
      <c r="S203" s="141"/>
      <c r="T203" s="141"/>
      <c r="U203" s="141"/>
      <c r="V203" s="141"/>
      <c r="W203" s="141"/>
      <c r="X203" s="141"/>
      <c r="Y203" s="141"/>
      <c r="Z203" s="141"/>
      <c r="AA203" s="141"/>
      <c r="AB203" s="141"/>
      <c r="AC203" s="141"/>
      <c r="AD203" s="141"/>
      <c r="AE203" s="141"/>
      <c r="AF203" s="141"/>
      <c r="AG203" s="141"/>
      <c r="AH203" s="141"/>
      <c r="AI203" s="141"/>
      <c r="AJ203" s="141"/>
      <c r="AK203" s="141"/>
      <c r="AL203" s="141"/>
      <c r="AM203" s="141"/>
      <c r="AN203" s="141"/>
      <c r="AO203" s="141"/>
      <c r="AP203" s="141"/>
      <c r="AQ203" s="141"/>
      <c r="AR203" s="141"/>
      <c r="AS203" s="141"/>
      <c r="AT203" s="141"/>
      <c r="AU203" s="141"/>
      <c r="AV203" s="141"/>
      <c r="AW203" s="141"/>
      <c r="AX203" s="141"/>
      <c r="AY203" s="141"/>
      <c r="AZ203" s="141"/>
      <c r="BA203" s="141"/>
      <c r="BB203" s="141"/>
      <c r="BC203" s="141"/>
      <c r="BD203" s="141"/>
      <c r="BE203" s="141"/>
      <c r="BF203" s="141"/>
      <c r="BG203" s="141"/>
      <c r="BH203" s="141"/>
      <c r="BI203" s="141"/>
      <c r="BJ203" s="141"/>
      <c r="BK203" s="141"/>
      <c r="BL203" s="141"/>
      <c r="BM203" s="141"/>
    </row>
    <row r="204" spans="1:65" ht="13.5" outlineLevel="2" x14ac:dyDescent="0.2">
      <c r="A204" s="133"/>
      <c r="B204" s="280"/>
      <c r="C204" s="299" t="s">
        <v>272</v>
      </c>
      <c r="D204" s="300"/>
      <c r="E204" s="290">
        <v>0</v>
      </c>
      <c r="F204" s="290">
        <v>0</v>
      </c>
      <c r="G204" s="291" t="s">
        <v>106</v>
      </c>
      <c r="H204" s="292"/>
      <c r="I204" s="292"/>
      <c r="J204" s="286"/>
      <c r="K204" s="176"/>
      <c r="L204" s="141"/>
      <c r="M204" s="141"/>
      <c r="N204" s="141"/>
      <c r="O204" s="141"/>
      <c r="P204" s="141"/>
      <c r="Q204" s="141"/>
      <c r="R204" s="141"/>
      <c r="S204" s="141"/>
      <c r="T204" s="141"/>
      <c r="U204" s="141"/>
      <c r="V204" s="141"/>
      <c r="W204" s="141"/>
      <c r="X204" s="141"/>
      <c r="Y204" s="141"/>
      <c r="Z204" s="141"/>
      <c r="AA204" s="141"/>
      <c r="AB204" s="141"/>
      <c r="AC204" s="141"/>
      <c r="AD204" s="141"/>
      <c r="AE204" s="141"/>
      <c r="AF204" s="141"/>
      <c r="AG204" s="141"/>
      <c r="AH204" s="141"/>
      <c r="AI204" s="141"/>
      <c r="AJ204" s="141"/>
      <c r="AK204" s="141"/>
      <c r="AL204" s="141"/>
      <c r="AM204" s="141"/>
      <c r="AN204" s="141"/>
      <c r="AO204" s="141"/>
      <c r="AP204" s="141"/>
      <c r="AQ204" s="141"/>
      <c r="AR204" s="141"/>
      <c r="AS204" s="141"/>
      <c r="AT204" s="141"/>
      <c r="AU204" s="141"/>
      <c r="AV204" s="141"/>
      <c r="AW204" s="141"/>
      <c r="AX204" s="141"/>
      <c r="AY204" s="141"/>
      <c r="AZ204" s="141"/>
      <c r="BA204" s="141"/>
      <c r="BB204" s="141"/>
      <c r="BC204" s="141"/>
      <c r="BD204" s="141"/>
      <c r="BE204" s="141"/>
      <c r="BF204" s="141"/>
      <c r="BG204" s="141"/>
      <c r="BH204" s="141"/>
      <c r="BI204" s="141"/>
      <c r="BJ204" s="141"/>
      <c r="BK204" s="141"/>
      <c r="BL204" s="141"/>
      <c r="BM204" s="141"/>
    </row>
    <row r="205" spans="1:65" ht="13.5" outlineLevel="2" x14ac:dyDescent="0.2">
      <c r="A205" s="133"/>
      <c r="B205" s="280"/>
      <c r="C205" s="299" t="s">
        <v>273</v>
      </c>
      <c r="D205" s="300"/>
      <c r="E205" s="290">
        <v>0</v>
      </c>
      <c r="F205" s="290">
        <v>0</v>
      </c>
      <c r="G205" s="291" t="s">
        <v>106</v>
      </c>
      <c r="H205" s="292"/>
      <c r="I205" s="292"/>
      <c r="J205" s="286"/>
      <c r="K205" s="176"/>
      <c r="L205" s="141"/>
      <c r="M205" s="141"/>
      <c r="N205" s="141"/>
      <c r="O205" s="141"/>
      <c r="P205" s="141"/>
      <c r="Q205" s="141"/>
      <c r="R205" s="141"/>
      <c r="S205" s="141"/>
      <c r="T205" s="141"/>
      <c r="U205" s="141"/>
      <c r="V205" s="141"/>
      <c r="W205" s="141"/>
      <c r="X205" s="141"/>
      <c r="Y205" s="141"/>
      <c r="Z205" s="141"/>
      <c r="AA205" s="141"/>
      <c r="AB205" s="141"/>
      <c r="AC205" s="141"/>
      <c r="AD205" s="141"/>
      <c r="AE205" s="141"/>
      <c r="AF205" s="141"/>
      <c r="AG205" s="141"/>
      <c r="AH205" s="141"/>
      <c r="AI205" s="141"/>
      <c r="AJ205" s="141"/>
      <c r="AK205" s="141"/>
      <c r="AL205" s="141"/>
      <c r="AM205" s="141"/>
      <c r="AN205" s="141"/>
      <c r="AO205" s="141"/>
      <c r="AP205" s="141"/>
      <c r="AQ205" s="141"/>
      <c r="AR205" s="141"/>
      <c r="AS205" s="141"/>
      <c r="AT205" s="141"/>
      <c r="AU205" s="141"/>
      <c r="AV205" s="141"/>
      <c r="AW205" s="141"/>
      <c r="AX205" s="141"/>
      <c r="AY205" s="141"/>
      <c r="AZ205" s="141"/>
      <c r="BA205" s="141"/>
      <c r="BB205" s="141"/>
      <c r="BC205" s="141"/>
      <c r="BD205" s="141"/>
      <c r="BE205" s="141"/>
      <c r="BF205" s="141"/>
      <c r="BG205" s="141"/>
      <c r="BH205" s="141"/>
      <c r="BI205" s="141"/>
      <c r="BJ205" s="141"/>
      <c r="BK205" s="141"/>
      <c r="BL205" s="141"/>
      <c r="BM205" s="141"/>
    </row>
    <row r="206" spans="1:65" ht="13.5" outlineLevel="2" x14ac:dyDescent="0.2">
      <c r="A206" s="133"/>
      <c r="B206" s="280"/>
      <c r="C206" s="299" t="s">
        <v>274</v>
      </c>
      <c r="D206" s="300"/>
      <c r="E206" s="317" t="s">
        <v>139</v>
      </c>
      <c r="F206" s="317" t="s">
        <v>139</v>
      </c>
      <c r="G206" s="302" t="s">
        <v>143</v>
      </c>
      <c r="H206" s="292"/>
      <c r="I206" s="292"/>
      <c r="J206" s="286"/>
      <c r="K206" s="176"/>
      <c r="L206" s="141"/>
      <c r="M206" s="141"/>
      <c r="N206" s="141"/>
      <c r="O206" s="141"/>
      <c r="P206" s="141"/>
      <c r="Q206" s="141"/>
      <c r="R206" s="141"/>
      <c r="S206" s="141"/>
      <c r="T206" s="141"/>
      <c r="U206" s="141"/>
      <c r="V206" s="141"/>
      <c r="W206" s="141"/>
      <c r="X206" s="141"/>
      <c r="Y206" s="141"/>
      <c r="Z206" s="141"/>
      <c r="AA206" s="141"/>
      <c r="AB206" s="141"/>
      <c r="AC206" s="141"/>
      <c r="AD206" s="141"/>
      <c r="AE206" s="141"/>
      <c r="AF206" s="141"/>
      <c r="AG206" s="141"/>
      <c r="AH206" s="141"/>
      <c r="AI206" s="141"/>
      <c r="AJ206" s="141"/>
      <c r="AK206" s="141"/>
      <c r="AL206" s="141"/>
      <c r="AM206" s="141"/>
      <c r="AN206" s="141"/>
      <c r="AO206" s="141"/>
      <c r="AP206" s="141"/>
      <c r="AQ206" s="141"/>
      <c r="AR206" s="141"/>
      <c r="AS206" s="141"/>
      <c r="AT206" s="141"/>
      <c r="AU206" s="141"/>
      <c r="AV206" s="141"/>
      <c r="AW206" s="141"/>
      <c r="AX206" s="141"/>
      <c r="AY206" s="141"/>
      <c r="AZ206" s="141"/>
      <c r="BA206" s="141"/>
      <c r="BB206" s="141"/>
      <c r="BC206" s="141"/>
      <c r="BD206" s="141"/>
      <c r="BE206" s="141"/>
      <c r="BF206" s="141"/>
      <c r="BG206" s="141"/>
      <c r="BH206" s="141"/>
      <c r="BI206" s="141"/>
      <c r="BJ206" s="141"/>
      <c r="BK206" s="141"/>
      <c r="BL206" s="141"/>
      <c r="BM206" s="141"/>
    </row>
    <row r="207" spans="1:65" ht="13.5" outlineLevel="2" x14ac:dyDescent="0.2">
      <c r="A207" s="133"/>
      <c r="B207" s="280"/>
      <c r="C207" s="299" t="s">
        <v>275</v>
      </c>
      <c r="D207" s="300"/>
      <c r="E207" s="290">
        <v>0</v>
      </c>
      <c r="F207" s="290">
        <v>0</v>
      </c>
      <c r="G207" s="291" t="s">
        <v>106</v>
      </c>
      <c r="H207" s="292"/>
      <c r="I207" s="292"/>
      <c r="J207" s="286"/>
      <c r="K207" s="176"/>
      <c r="L207" s="141"/>
      <c r="M207" s="141"/>
      <c r="N207" s="141"/>
      <c r="O207" s="141"/>
      <c r="P207" s="141"/>
      <c r="Q207" s="141"/>
      <c r="R207" s="141"/>
      <c r="S207" s="141"/>
      <c r="T207" s="141"/>
      <c r="U207" s="141"/>
      <c r="V207" s="141"/>
      <c r="W207" s="141"/>
      <c r="X207" s="141"/>
      <c r="Y207" s="141"/>
      <c r="Z207" s="141"/>
      <c r="AA207" s="141"/>
      <c r="AB207" s="141"/>
      <c r="AC207" s="141"/>
      <c r="AD207" s="141"/>
      <c r="AE207" s="141"/>
      <c r="AF207" s="141"/>
      <c r="AG207" s="141"/>
      <c r="AH207" s="141"/>
      <c r="AI207" s="141"/>
      <c r="AJ207" s="141"/>
      <c r="AK207" s="141"/>
      <c r="AL207" s="141"/>
      <c r="AM207" s="141"/>
      <c r="AN207" s="141"/>
      <c r="AO207" s="141"/>
      <c r="AP207" s="141"/>
      <c r="AQ207" s="141"/>
      <c r="AR207" s="141"/>
      <c r="AS207" s="141"/>
      <c r="AT207" s="141"/>
      <c r="AU207" s="141"/>
      <c r="AV207" s="141"/>
      <c r="AW207" s="141"/>
      <c r="AX207" s="141"/>
      <c r="AY207" s="141"/>
      <c r="AZ207" s="141"/>
      <c r="BA207" s="141"/>
      <c r="BB207" s="141"/>
      <c r="BC207" s="141"/>
      <c r="BD207" s="141"/>
      <c r="BE207" s="141"/>
      <c r="BF207" s="141"/>
      <c r="BG207" s="141"/>
      <c r="BH207" s="141"/>
      <c r="BI207" s="141"/>
      <c r="BJ207" s="141"/>
      <c r="BK207" s="141"/>
      <c r="BL207" s="141"/>
      <c r="BM207" s="141"/>
    </row>
    <row r="208" spans="1:65" ht="13.5" outlineLevel="2" x14ac:dyDescent="0.2">
      <c r="A208" s="133"/>
      <c r="B208" s="280"/>
      <c r="C208" s="299" t="s">
        <v>274</v>
      </c>
      <c r="D208" s="300"/>
      <c r="E208" s="317" t="s">
        <v>139</v>
      </c>
      <c r="F208" s="317" t="s">
        <v>139</v>
      </c>
      <c r="G208" s="302" t="s">
        <v>143</v>
      </c>
      <c r="H208" s="292"/>
      <c r="I208" s="292"/>
      <c r="J208" s="286"/>
      <c r="K208" s="176"/>
      <c r="L208" s="141"/>
      <c r="M208" s="141"/>
      <c r="N208" s="141"/>
      <c r="O208" s="141"/>
      <c r="P208" s="141"/>
      <c r="Q208" s="141"/>
      <c r="R208" s="141"/>
      <c r="S208" s="141"/>
      <c r="T208" s="141"/>
      <c r="U208" s="141"/>
      <c r="V208" s="141"/>
      <c r="W208" s="141"/>
      <c r="X208" s="141"/>
      <c r="Y208" s="141"/>
      <c r="Z208" s="141"/>
      <c r="AA208" s="141"/>
      <c r="AB208" s="141"/>
      <c r="AC208" s="141"/>
      <c r="AD208" s="141"/>
      <c r="AE208" s="141"/>
      <c r="AF208" s="141"/>
      <c r="AG208" s="141"/>
      <c r="AH208" s="141"/>
      <c r="AI208" s="141"/>
      <c r="AJ208" s="141"/>
      <c r="AK208" s="141"/>
      <c r="AL208" s="141"/>
      <c r="AM208" s="141"/>
      <c r="AN208" s="141"/>
      <c r="AO208" s="141"/>
      <c r="AP208" s="141"/>
      <c r="AQ208" s="141"/>
      <c r="AR208" s="141"/>
      <c r="AS208" s="141"/>
      <c r="AT208" s="141"/>
      <c r="AU208" s="141"/>
      <c r="AV208" s="141"/>
      <c r="AW208" s="141"/>
      <c r="AX208" s="141"/>
      <c r="AY208" s="141"/>
      <c r="AZ208" s="141"/>
      <c r="BA208" s="141"/>
      <c r="BB208" s="141"/>
      <c r="BC208" s="141"/>
      <c r="BD208" s="141"/>
      <c r="BE208" s="141"/>
      <c r="BF208" s="141"/>
      <c r="BG208" s="141"/>
      <c r="BH208" s="141"/>
      <c r="BI208" s="141"/>
      <c r="BJ208" s="141"/>
      <c r="BK208" s="141"/>
      <c r="BL208" s="141"/>
      <c r="BM208" s="141"/>
    </row>
    <row r="209" spans="1:65" ht="13.5" outlineLevel="2" x14ac:dyDescent="0.2">
      <c r="A209" s="133"/>
      <c r="B209" s="280"/>
      <c r="C209" s="299" t="s">
        <v>276</v>
      </c>
      <c r="D209" s="300"/>
      <c r="E209" s="290">
        <v>0</v>
      </c>
      <c r="F209" s="290">
        <v>0</v>
      </c>
      <c r="G209" s="291" t="s">
        <v>106</v>
      </c>
      <c r="H209" s="292"/>
      <c r="I209" s="292"/>
      <c r="J209" s="286"/>
      <c r="K209" s="176"/>
      <c r="L209" s="141"/>
      <c r="M209" s="141"/>
      <c r="N209" s="141"/>
      <c r="O209" s="141"/>
      <c r="P209" s="141"/>
      <c r="Q209" s="141"/>
      <c r="R209" s="141"/>
      <c r="S209" s="141"/>
      <c r="T209" s="141"/>
      <c r="U209" s="141"/>
      <c r="V209" s="141"/>
      <c r="W209" s="141"/>
      <c r="X209" s="141"/>
      <c r="Y209" s="141"/>
      <c r="Z209" s="141"/>
      <c r="AA209" s="141"/>
      <c r="AB209" s="141"/>
      <c r="AC209" s="141"/>
      <c r="AD209" s="141"/>
      <c r="AE209" s="141"/>
      <c r="AF209" s="141"/>
      <c r="AG209" s="141"/>
      <c r="AH209" s="141"/>
      <c r="AI209" s="141"/>
      <c r="AJ209" s="141"/>
      <c r="AK209" s="141"/>
      <c r="AL209" s="141"/>
      <c r="AM209" s="141"/>
      <c r="AN209" s="141"/>
      <c r="AO209" s="141"/>
      <c r="AP209" s="141"/>
      <c r="AQ209" s="141"/>
      <c r="AR209" s="141"/>
      <c r="AS209" s="141"/>
      <c r="AT209" s="141"/>
      <c r="AU209" s="141"/>
      <c r="AV209" s="141"/>
      <c r="AW209" s="141"/>
      <c r="AX209" s="141"/>
      <c r="AY209" s="141"/>
      <c r="AZ209" s="141"/>
      <c r="BA209" s="141"/>
      <c r="BB209" s="141"/>
      <c r="BC209" s="141"/>
      <c r="BD209" s="141"/>
      <c r="BE209" s="141"/>
      <c r="BF209" s="141"/>
      <c r="BG209" s="141"/>
      <c r="BH209" s="141"/>
      <c r="BI209" s="141"/>
      <c r="BJ209" s="141"/>
      <c r="BK209" s="141"/>
      <c r="BL209" s="141"/>
      <c r="BM209" s="141"/>
    </row>
    <row r="210" spans="1:65" ht="13.5" outlineLevel="2" x14ac:dyDescent="0.2">
      <c r="A210" s="133"/>
      <c r="B210" s="280"/>
      <c r="C210" s="299" t="s">
        <v>274</v>
      </c>
      <c r="D210" s="300"/>
      <c r="E210" s="317" t="s">
        <v>139</v>
      </c>
      <c r="F210" s="317" t="s">
        <v>139</v>
      </c>
      <c r="G210" s="302" t="s">
        <v>143</v>
      </c>
      <c r="H210" s="292"/>
      <c r="I210" s="292"/>
      <c r="J210" s="286"/>
      <c r="K210" s="176"/>
      <c r="L210" s="141"/>
      <c r="M210" s="141"/>
      <c r="N210" s="141"/>
      <c r="O210" s="141"/>
      <c r="P210" s="141"/>
      <c r="Q210" s="141"/>
      <c r="R210" s="141"/>
      <c r="S210" s="141"/>
      <c r="T210" s="141"/>
      <c r="U210" s="141"/>
      <c r="V210" s="141"/>
      <c r="W210" s="141"/>
      <c r="X210" s="141"/>
      <c r="Y210" s="141"/>
      <c r="Z210" s="141"/>
      <c r="AA210" s="141"/>
      <c r="AB210" s="141"/>
      <c r="AC210" s="141"/>
      <c r="AD210" s="141"/>
      <c r="AE210" s="141"/>
      <c r="AF210" s="141"/>
      <c r="AG210" s="141"/>
      <c r="AH210" s="141"/>
      <c r="AI210" s="141"/>
      <c r="AJ210" s="141"/>
      <c r="AK210" s="141"/>
      <c r="AL210" s="141"/>
      <c r="AM210" s="141"/>
      <c r="AN210" s="141"/>
      <c r="AO210" s="141"/>
      <c r="AP210" s="141"/>
      <c r="AQ210" s="141"/>
      <c r="AR210" s="141"/>
      <c r="AS210" s="141"/>
      <c r="AT210" s="141"/>
      <c r="AU210" s="141"/>
      <c r="AV210" s="141"/>
      <c r="AW210" s="141"/>
      <c r="AX210" s="141"/>
      <c r="AY210" s="141"/>
      <c r="AZ210" s="141"/>
      <c r="BA210" s="141"/>
      <c r="BB210" s="141"/>
      <c r="BC210" s="141"/>
      <c r="BD210" s="141"/>
      <c r="BE210" s="141"/>
      <c r="BF210" s="141"/>
      <c r="BG210" s="141"/>
      <c r="BH210" s="141"/>
      <c r="BI210" s="141"/>
      <c r="BJ210" s="141"/>
      <c r="BK210" s="141"/>
      <c r="BL210" s="141"/>
      <c r="BM210" s="141"/>
    </row>
    <row r="211" spans="1:65" ht="13.5" outlineLevel="2" x14ac:dyDescent="0.2">
      <c r="A211" s="133"/>
      <c r="B211" s="280"/>
      <c r="C211" s="299" t="s">
        <v>277</v>
      </c>
      <c r="D211" s="300"/>
      <c r="E211" s="290">
        <v>0</v>
      </c>
      <c r="F211" s="290">
        <v>0</v>
      </c>
      <c r="G211" s="302" t="s">
        <v>278</v>
      </c>
      <c r="H211" s="292">
        <f>E211*Données!$D$410*Données!$D$411*Données!$D$412</f>
        <v>0</v>
      </c>
      <c r="I211" s="292">
        <f>F211*Données!$D$410*Données!$D$411*Données!$D$412</f>
        <v>0</v>
      </c>
      <c r="J211" s="286"/>
      <c r="K211" s="176"/>
      <c r="L211" s="141"/>
      <c r="M211" s="141"/>
      <c r="N211" s="141"/>
      <c r="O211" s="141"/>
      <c r="P211" s="141"/>
      <c r="Q211" s="141"/>
      <c r="R211" s="141"/>
      <c r="S211" s="141"/>
      <c r="T211" s="141"/>
      <c r="U211" s="141"/>
      <c r="V211" s="141"/>
      <c r="W211" s="141"/>
      <c r="X211" s="141"/>
      <c r="Y211" s="141"/>
      <c r="Z211" s="141"/>
      <c r="AA211" s="141"/>
      <c r="AB211" s="141"/>
      <c r="AC211" s="141"/>
      <c r="AD211" s="141"/>
      <c r="AE211" s="141"/>
      <c r="AF211" s="141"/>
      <c r="AG211" s="141"/>
      <c r="AH211" s="141"/>
      <c r="AI211" s="141"/>
      <c r="AJ211" s="141"/>
      <c r="AK211" s="141"/>
      <c r="AL211" s="141"/>
      <c r="AM211" s="141"/>
      <c r="AN211" s="141"/>
      <c r="AO211" s="141"/>
      <c r="AP211" s="141"/>
      <c r="AQ211" s="141"/>
      <c r="AR211" s="141"/>
      <c r="AS211" s="141"/>
      <c r="AT211" s="141"/>
      <c r="AU211" s="141"/>
      <c r="AV211" s="141"/>
      <c r="AW211" s="141"/>
      <c r="AX211" s="141"/>
      <c r="AY211" s="141"/>
      <c r="AZ211" s="141"/>
      <c r="BA211" s="141"/>
      <c r="BB211" s="141"/>
      <c r="BC211" s="141"/>
      <c r="BD211" s="141"/>
      <c r="BE211" s="141"/>
      <c r="BF211" s="141"/>
      <c r="BG211" s="141"/>
      <c r="BH211" s="141"/>
      <c r="BI211" s="141"/>
      <c r="BJ211" s="141"/>
      <c r="BK211" s="141"/>
      <c r="BL211" s="141"/>
      <c r="BM211" s="141"/>
    </row>
    <row r="212" spans="1:65" ht="16.5" customHeight="1" outlineLevel="2" x14ac:dyDescent="0.2">
      <c r="A212" s="133"/>
      <c r="B212" s="294"/>
      <c r="C212" s="295" t="s">
        <v>268</v>
      </c>
      <c r="D212" s="296"/>
      <c r="E212" s="298">
        <f>VLOOKUP(E$201,Données!$B$406:$G$409,3,FALSE())*(E203*Données!D415+E204*Données!D417+E205*VLOOKUP(E206,Données!$B$419:$G$422,3,FALSE())+E207*VLOOKUP(E208,Données!$B$424:$G$427,3,FALSE())+E209*VLOOKUP(E210,Données!$B$429:$G$432,3,FALSE()))</f>
        <v>0</v>
      </c>
      <c r="F212" s="298">
        <f>VLOOKUP(F$201,Données!$B$406:$G$409,5,FALSE())*(F203*Données!F415+F204*Données!F417+F205*VLOOKUP(F206,Données!$B$419:$G$422,5,FALSE())+F207*VLOOKUP(F208,Données!$B$424:$G$427,5,FALSE())+F209*VLOOKUP(F210,Données!$B$429:$G$432,5,FALSE()))</f>
        <v>0</v>
      </c>
      <c r="G212" s="291" t="s">
        <v>258</v>
      </c>
      <c r="H212" s="292">
        <f>E212*Données!$D433</f>
        <v>0</v>
      </c>
      <c r="I212" s="292">
        <f>F212*Données!$D433</f>
        <v>0</v>
      </c>
      <c r="J212" s="310"/>
      <c r="K212" s="176"/>
      <c r="L212" s="141"/>
      <c r="M212" s="141"/>
      <c r="N212" s="141"/>
      <c r="O212" s="141"/>
      <c r="P212" s="141"/>
      <c r="Q212" s="141"/>
      <c r="R212" s="141"/>
      <c r="S212" s="141"/>
      <c r="T212" s="141"/>
      <c r="U212" s="141"/>
      <c r="V212" s="141"/>
      <c r="W212" s="141"/>
      <c r="X212" s="141"/>
      <c r="Y212" s="141"/>
      <c r="Z212" s="141"/>
      <c r="AA212" s="141"/>
      <c r="AB212" s="141"/>
      <c r="AC212" s="141"/>
      <c r="AD212" s="141"/>
      <c r="AE212" s="141"/>
      <c r="AF212" s="141"/>
      <c r="AG212" s="141"/>
      <c r="AH212" s="141"/>
      <c r="AI212" s="141"/>
      <c r="AJ212" s="141"/>
      <c r="AK212" s="141"/>
      <c r="AL212" s="141"/>
      <c r="AM212" s="141"/>
      <c r="AN212" s="141"/>
      <c r="AO212" s="141"/>
      <c r="AP212" s="141"/>
      <c r="AQ212" s="141"/>
      <c r="AR212" s="141"/>
      <c r="AS212" s="141"/>
      <c r="AT212" s="141"/>
      <c r="AU212" s="141"/>
      <c r="AV212" s="141"/>
      <c r="AW212" s="141"/>
      <c r="AX212" s="141"/>
      <c r="AY212" s="141"/>
      <c r="AZ212" s="141"/>
      <c r="BA212" s="141"/>
      <c r="BB212" s="141"/>
      <c r="BC212" s="141"/>
      <c r="BD212" s="141"/>
      <c r="BE212" s="141"/>
      <c r="BF212" s="141"/>
      <c r="BG212" s="141"/>
      <c r="BH212" s="141"/>
      <c r="BI212" s="141"/>
      <c r="BJ212" s="141"/>
      <c r="BK212" s="141"/>
      <c r="BL212" s="141"/>
      <c r="BM212" s="141"/>
    </row>
    <row r="213" spans="1:65" ht="5.25" customHeight="1" outlineLevel="2" x14ac:dyDescent="0.2">
      <c r="A213" s="133"/>
      <c r="B213" s="311"/>
      <c r="C213" s="312"/>
      <c r="D213" s="313"/>
      <c r="E213" s="314"/>
      <c r="F213" s="314"/>
      <c r="G213" s="315"/>
      <c r="H213" s="314"/>
      <c r="I213" s="314"/>
      <c r="J213" s="286"/>
      <c r="K213" s="144"/>
      <c r="L213" s="141"/>
      <c r="M213" s="141"/>
      <c r="N213" s="141"/>
      <c r="O213" s="141"/>
      <c r="P213" s="141"/>
      <c r="Q213" s="141"/>
      <c r="R213" s="141"/>
      <c r="S213" s="141"/>
      <c r="T213" s="141"/>
      <c r="U213" s="141"/>
      <c r="V213" s="141"/>
      <c r="W213" s="141"/>
      <c r="X213" s="141"/>
      <c r="Y213" s="141"/>
      <c r="Z213" s="141"/>
      <c r="AA213" s="141"/>
      <c r="AB213" s="141"/>
      <c r="AC213" s="141"/>
      <c r="AD213" s="141"/>
      <c r="AE213" s="141"/>
      <c r="AF213" s="141"/>
      <c r="AG213" s="141"/>
      <c r="AH213" s="141"/>
      <c r="AI213" s="141"/>
      <c r="AJ213" s="141"/>
      <c r="AK213" s="141"/>
      <c r="AL213" s="141"/>
      <c r="AM213" s="141"/>
      <c r="AN213" s="141"/>
      <c r="AO213" s="141"/>
      <c r="AP213" s="141"/>
      <c r="AQ213" s="141"/>
      <c r="AR213" s="141"/>
      <c r="AS213" s="141"/>
      <c r="AT213" s="141"/>
      <c r="AU213" s="141"/>
      <c r="AV213" s="141"/>
      <c r="AW213" s="141"/>
      <c r="AX213" s="141"/>
      <c r="AY213" s="141"/>
      <c r="AZ213" s="141"/>
      <c r="BA213" s="141"/>
      <c r="BB213" s="141"/>
      <c r="BC213" s="141"/>
      <c r="BD213" s="141"/>
      <c r="BE213" s="141"/>
      <c r="BF213" s="141"/>
      <c r="BG213" s="141"/>
      <c r="BH213" s="141"/>
      <c r="BI213" s="141"/>
      <c r="BJ213" s="141"/>
      <c r="BK213" s="141"/>
      <c r="BL213" s="141"/>
      <c r="BM213" s="141"/>
    </row>
    <row r="214" spans="1:65" ht="13.5" outlineLevel="2" x14ac:dyDescent="0.2">
      <c r="A214" s="133"/>
      <c r="B214" s="287" t="str">
        <f>$C$17</f>
        <v>Bureaux</v>
      </c>
      <c r="C214" s="299" t="s">
        <v>272</v>
      </c>
      <c r="D214" s="300"/>
      <c r="E214" s="290">
        <v>0</v>
      </c>
      <c r="F214" s="290">
        <v>0</v>
      </c>
      <c r="G214" s="291" t="s">
        <v>106</v>
      </c>
      <c r="H214" s="292"/>
      <c r="I214" s="292"/>
      <c r="J214" s="286"/>
      <c r="K214" s="176"/>
      <c r="L214" s="141"/>
      <c r="M214" s="141"/>
      <c r="N214" s="141"/>
      <c r="O214" s="141"/>
      <c r="P214" s="141"/>
      <c r="Q214" s="141"/>
      <c r="R214" s="141"/>
      <c r="S214" s="141"/>
      <c r="T214" s="141"/>
      <c r="U214" s="141"/>
      <c r="V214" s="141"/>
      <c r="W214" s="141"/>
      <c r="X214" s="141"/>
      <c r="Y214" s="141"/>
      <c r="Z214" s="141"/>
      <c r="AA214" s="141"/>
      <c r="AB214" s="141"/>
      <c r="AC214" s="141"/>
      <c r="AD214" s="141"/>
      <c r="AE214" s="141"/>
      <c r="AF214" s="141"/>
      <c r="AG214" s="141"/>
      <c r="AH214" s="141"/>
      <c r="AI214" s="141"/>
      <c r="AJ214" s="141"/>
      <c r="AK214" s="141"/>
      <c r="AL214" s="141"/>
      <c r="AM214" s="141"/>
      <c r="AN214" s="141"/>
      <c r="AO214" s="141"/>
      <c r="AP214" s="141"/>
      <c r="AQ214" s="141"/>
      <c r="AR214" s="141"/>
      <c r="AS214" s="141"/>
      <c r="AT214" s="141"/>
      <c r="AU214" s="141"/>
      <c r="AV214" s="141"/>
      <c r="AW214" s="141"/>
      <c r="AX214" s="141"/>
      <c r="AY214" s="141"/>
      <c r="AZ214" s="141"/>
      <c r="BA214" s="141"/>
      <c r="BB214" s="141"/>
      <c r="BC214" s="141"/>
      <c r="BD214" s="141"/>
      <c r="BE214" s="141"/>
      <c r="BF214" s="141"/>
      <c r="BG214" s="141"/>
      <c r="BH214" s="141"/>
      <c r="BI214" s="141"/>
      <c r="BJ214" s="141"/>
      <c r="BK214" s="141"/>
      <c r="BL214" s="141"/>
      <c r="BM214" s="141"/>
    </row>
    <row r="215" spans="1:65" ht="13.5" outlineLevel="2" x14ac:dyDescent="0.2">
      <c r="A215" s="133"/>
      <c r="B215" s="280"/>
      <c r="C215" s="299" t="s">
        <v>273</v>
      </c>
      <c r="D215" s="300"/>
      <c r="E215" s="290">
        <v>0</v>
      </c>
      <c r="F215" s="290">
        <v>0</v>
      </c>
      <c r="G215" s="291" t="s">
        <v>106</v>
      </c>
      <c r="H215" s="292"/>
      <c r="I215" s="292"/>
      <c r="J215" s="286"/>
      <c r="K215" s="176"/>
      <c r="L215" s="141"/>
      <c r="M215" s="141"/>
      <c r="N215" s="141"/>
      <c r="O215" s="141"/>
      <c r="P215" s="141"/>
      <c r="Q215" s="141"/>
      <c r="R215" s="141"/>
      <c r="S215" s="141"/>
      <c r="T215" s="141"/>
      <c r="U215" s="141"/>
      <c r="V215" s="141"/>
      <c r="W215" s="141"/>
      <c r="X215" s="141"/>
      <c r="Y215" s="141"/>
      <c r="Z215" s="141"/>
      <c r="AA215" s="141"/>
      <c r="AB215" s="141"/>
      <c r="AC215" s="141"/>
      <c r="AD215" s="141"/>
      <c r="AE215" s="141"/>
      <c r="AF215" s="141"/>
      <c r="AG215" s="141"/>
      <c r="AH215" s="141"/>
      <c r="AI215" s="141"/>
      <c r="AJ215" s="141"/>
      <c r="AK215" s="141"/>
      <c r="AL215" s="141"/>
      <c r="AM215" s="141"/>
      <c r="AN215" s="141"/>
      <c r="AO215" s="141"/>
      <c r="AP215" s="141"/>
      <c r="AQ215" s="141"/>
      <c r="AR215" s="141"/>
      <c r="AS215" s="141"/>
      <c r="AT215" s="141"/>
      <c r="AU215" s="141"/>
      <c r="AV215" s="141"/>
      <c r="AW215" s="141"/>
      <c r="AX215" s="141"/>
      <c r="AY215" s="141"/>
      <c r="AZ215" s="141"/>
      <c r="BA215" s="141"/>
      <c r="BB215" s="141"/>
      <c r="BC215" s="141"/>
      <c r="BD215" s="141"/>
      <c r="BE215" s="141"/>
      <c r="BF215" s="141"/>
      <c r="BG215" s="141"/>
      <c r="BH215" s="141"/>
      <c r="BI215" s="141"/>
      <c r="BJ215" s="141"/>
      <c r="BK215" s="141"/>
      <c r="BL215" s="141"/>
      <c r="BM215" s="141"/>
    </row>
    <row r="216" spans="1:65" ht="13.5" outlineLevel="2" x14ac:dyDescent="0.2">
      <c r="A216" s="133"/>
      <c r="B216" s="280"/>
      <c r="C216" s="299" t="s">
        <v>274</v>
      </c>
      <c r="D216" s="300"/>
      <c r="E216" s="317" t="s">
        <v>139</v>
      </c>
      <c r="F216" s="317" t="s">
        <v>139</v>
      </c>
      <c r="G216" s="302" t="s">
        <v>143</v>
      </c>
      <c r="H216" s="292"/>
      <c r="I216" s="292"/>
      <c r="J216" s="286"/>
      <c r="K216" s="176"/>
      <c r="L216" s="141"/>
      <c r="M216" s="141"/>
      <c r="N216" s="141"/>
      <c r="O216" s="141"/>
      <c r="P216" s="141"/>
      <c r="Q216" s="141"/>
      <c r="R216" s="141"/>
      <c r="S216" s="141"/>
      <c r="T216" s="141"/>
      <c r="U216" s="141"/>
      <c r="V216" s="141"/>
      <c r="W216" s="141"/>
      <c r="X216" s="141"/>
      <c r="Y216" s="141"/>
      <c r="Z216" s="141"/>
      <c r="AA216" s="141"/>
      <c r="AB216" s="141"/>
      <c r="AC216" s="141"/>
      <c r="AD216" s="141"/>
      <c r="AE216" s="141"/>
      <c r="AF216" s="141"/>
      <c r="AG216" s="141"/>
      <c r="AH216" s="141"/>
      <c r="AI216" s="141"/>
      <c r="AJ216" s="141"/>
      <c r="AK216" s="141"/>
      <c r="AL216" s="141"/>
      <c r="AM216" s="141"/>
      <c r="AN216" s="141"/>
      <c r="AO216" s="141"/>
      <c r="AP216" s="141"/>
      <c r="AQ216" s="141"/>
      <c r="AR216" s="141"/>
      <c r="AS216" s="141"/>
      <c r="AT216" s="141"/>
      <c r="AU216" s="141"/>
      <c r="AV216" s="141"/>
      <c r="AW216" s="141"/>
      <c r="AX216" s="141"/>
      <c r="AY216" s="141"/>
      <c r="AZ216" s="141"/>
      <c r="BA216" s="141"/>
      <c r="BB216" s="141"/>
      <c r="BC216" s="141"/>
      <c r="BD216" s="141"/>
      <c r="BE216" s="141"/>
      <c r="BF216" s="141"/>
      <c r="BG216" s="141"/>
      <c r="BH216" s="141"/>
      <c r="BI216" s="141"/>
      <c r="BJ216" s="141"/>
      <c r="BK216" s="141"/>
      <c r="BL216" s="141"/>
      <c r="BM216" s="141"/>
    </row>
    <row r="217" spans="1:65" ht="13.5" outlineLevel="2" x14ac:dyDescent="0.2">
      <c r="A217" s="133"/>
      <c r="B217" s="280"/>
      <c r="C217" s="299" t="s">
        <v>275</v>
      </c>
      <c r="D217" s="300"/>
      <c r="E217" s="290">
        <v>0</v>
      </c>
      <c r="F217" s="290">
        <v>0</v>
      </c>
      <c r="G217" s="291" t="s">
        <v>106</v>
      </c>
      <c r="H217" s="292"/>
      <c r="I217" s="292"/>
      <c r="J217" s="286"/>
      <c r="K217" s="176"/>
      <c r="L217" s="141"/>
      <c r="M217" s="141"/>
      <c r="N217" s="141"/>
      <c r="O217" s="141"/>
      <c r="P217" s="141"/>
      <c r="Q217" s="141"/>
      <c r="R217" s="141"/>
      <c r="S217" s="141"/>
      <c r="T217" s="141"/>
      <c r="U217" s="141"/>
      <c r="V217" s="141"/>
      <c r="W217" s="141"/>
      <c r="X217" s="141"/>
      <c r="Y217" s="141"/>
      <c r="Z217" s="141"/>
      <c r="AA217" s="141"/>
      <c r="AB217" s="141"/>
      <c r="AC217" s="141"/>
      <c r="AD217" s="141"/>
      <c r="AE217" s="141"/>
      <c r="AF217" s="141"/>
      <c r="AG217" s="141"/>
      <c r="AH217" s="141"/>
      <c r="AI217" s="141"/>
      <c r="AJ217" s="141"/>
      <c r="AK217" s="141"/>
      <c r="AL217" s="141"/>
      <c r="AM217" s="141"/>
      <c r="AN217" s="141"/>
      <c r="AO217" s="141"/>
      <c r="AP217" s="141"/>
      <c r="AQ217" s="141"/>
      <c r="AR217" s="141"/>
      <c r="AS217" s="141"/>
      <c r="AT217" s="141"/>
      <c r="AU217" s="141"/>
      <c r="AV217" s="141"/>
      <c r="AW217" s="141"/>
      <c r="AX217" s="141"/>
      <c r="AY217" s="141"/>
      <c r="AZ217" s="141"/>
      <c r="BA217" s="141"/>
      <c r="BB217" s="141"/>
      <c r="BC217" s="141"/>
      <c r="BD217" s="141"/>
      <c r="BE217" s="141"/>
      <c r="BF217" s="141"/>
      <c r="BG217" s="141"/>
      <c r="BH217" s="141"/>
      <c r="BI217" s="141"/>
      <c r="BJ217" s="141"/>
      <c r="BK217" s="141"/>
      <c r="BL217" s="141"/>
      <c r="BM217" s="141"/>
    </row>
    <row r="218" spans="1:65" ht="13.5" outlineLevel="2" x14ac:dyDescent="0.2">
      <c r="A218" s="133"/>
      <c r="B218" s="280"/>
      <c r="C218" s="299" t="s">
        <v>274</v>
      </c>
      <c r="D218" s="300"/>
      <c r="E218" s="317" t="s">
        <v>139</v>
      </c>
      <c r="F218" s="317" t="s">
        <v>139</v>
      </c>
      <c r="G218" s="302" t="s">
        <v>143</v>
      </c>
      <c r="H218" s="292"/>
      <c r="I218" s="292"/>
      <c r="J218" s="286"/>
      <c r="K218" s="144"/>
      <c r="L218" s="141"/>
      <c r="M218" s="141"/>
      <c r="N218" s="141"/>
      <c r="O218" s="141"/>
      <c r="P218" s="141"/>
      <c r="Q218" s="141"/>
      <c r="R218" s="141"/>
      <c r="S218" s="141"/>
      <c r="T218" s="141"/>
      <c r="U218" s="141"/>
      <c r="V218" s="141"/>
      <c r="W218" s="141"/>
      <c r="X218" s="141"/>
      <c r="Y218" s="141"/>
      <c r="Z218" s="141"/>
      <c r="AA218" s="141"/>
      <c r="AB218" s="141"/>
      <c r="AC218" s="141"/>
      <c r="AD218" s="141"/>
      <c r="AE218" s="141"/>
      <c r="AF218" s="141"/>
      <c r="AG218" s="141"/>
      <c r="AH218" s="141"/>
      <c r="AI218" s="141"/>
      <c r="AJ218" s="141"/>
      <c r="AK218" s="141"/>
      <c r="AL218" s="141"/>
      <c r="AM218" s="141"/>
      <c r="AN218" s="141"/>
      <c r="AO218" s="141"/>
      <c r="AP218" s="141"/>
      <c r="AQ218" s="141"/>
      <c r="AR218" s="141"/>
      <c r="AS218" s="141"/>
      <c r="AT218" s="141"/>
      <c r="AU218" s="141"/>
      <c r="AV218" s="141"/>
      <c r="AW218" s="141"/>
      <c r="AX218" s="141"/>
      <c r="AY218" s="141"/>
      <c r="AZ218" s="141"/>
      <c r="BA218" s="141"/>
      <c r="BB218" s="141"/>
      <c r="BC218" s="141"/>
      <c r="BD218" s="141"/>
      <c r="BE218" s="141"/>
      <c r="BF218" s="141"/>
      <c r="BG218" s="141"/>
      <c r="BH218" s="141"/>
      <c r="BI218" s="141"/>
      <c r="BJ218" s="141"/>
      <c r="BK218" s="141"/>
      <c r="BL218" s="141"/>
      <c r="BM218" s="141"/>
    </row>
    <row r="219" spans="1:65" ht="13.5" outlineLevel="2" x14ac:dyDescent="0.2">
      <c r="A219" s="133"/>
      <c r="B219" s="280"/>
      <c r="C219" s="299" t="s">
        <v>276</v>
      </c>
      <c r="D219" s="300"/>
      <c r="E219" s="290">
        <v>0</v>
      </c>
      <c r="F219" s="290">
        <v>0</v>
      </c>
      <c r="G219" s="291" t="s">
        <v>106</v>
      </c>
      <c r="H219" s="292"/>
      <c r="I219" s="292"/>
      <c r="J219" s="286"/>
      <c r="K219" s="176"/>
      <c r="L219" s="141"/>
      <c r="M219" s="141"/>
      <c r="N219" s="141"/>
      <c r="O219" s="141"/>
      <c r="P219" s="141"/>
      <c r="Q219" s="141"/>
      <c r="R219" s="141"/>
      <c r="S219" s="141"/>
      <c r="T219" s="141"/>
      <c r="U219" s="141"/>
      <c r="V219" s="141"/>
      <c r="W219" s="141"/>
      <c r="X219" s="141"/>
      <c r="Y219" s="141"/>
      <c r="Z219" s="141"/>
      <c r="AA219" s="141"/>
      <c r="AB219" s="141"/>
      <c r="AC219" s="141"/>
      <c r="AD219" s="141"/>
      <c r="AE219" s="141"/>
      <c r="AF219" s="141"/>
      <c r="AG219" s="141"/>
      <c r="AH219" s="141"/>
      <c r="AI219" s="141"/>
      <c r="AJ219" s="141"/>
      <c r="AK219" s="141"/>
      <c r="AL219" s="141"/>
      <c r="AM219" s="141"/>
      <c r="AN219" s="141"/>
      <c r="AO219" s="141"/>
      <c r="AP219" s="141"/>
      <c r="AQ219" s="141"/>
      <c r="AR219" s="141"/>
      <c r="AS219" s="141"/>
      <c r="AT219" s="141"/>
      <c r="AU219" s="141"/>
      <c r="AV219" s="141"/>
      <c r="AW219" s="141"/>
      <c r="AX219" s="141"/>
      <c r="AY219" s="141"/>
      <c r="AZ219" s="141"/>
      <c r="BA219" s="141"/>
      <c r="BB219" s="141"/>
      <c r="BC219" s="141"/>
      <c r="BD219" s="141"/>
      <c r="BE219" s="141"/>
      <c r="BF219" s="141"/>
      <c r="BG219" s="141"/>
      <c r="BH219" s="141"/>
      <c r="BI219" s="141"/>
      <c r="BJ219" s="141"/>
      <c r="BK219" s="141"/>
      <c r="BL219" s="141"/>
      <c r="BM219" s="141"/>
    </row>
    <row r="220" spans="1:65" ht="13.5" outlineLevel="2" x14ac:dyDescent="0.2">
      <c r="A220" s="133"/>
      <c r="B220" s="280"/>
      <c r="C220" s="299" t="s">
        <v>274</v>
      </c>
      <c r="D220" s="300"/>
      <c r="E220" s="317" t="s">
        <v>139</v>
      </c>
      <c r="F220" s="317" t="s">
        <v>139</v>
      </c>
      <c r="G220" s="302" t="s">
        <v>143</v>
      </c>
      <c r="H220" s="292"/>
      <c r="I220" s="292"/>
      <c r="J220" s="286"/>
      <c r="K220" s="144"/>
      <c r="L220" s="141"/>
      <c r="M220" s="141"/>
      <c r="N220" s="141"/>
      <c r="O220" s="141"/>
      <c r="P220" s="141"/>
      <c r="Q220" s="141"/>
      <c r="R220" s="141"/>
      <c r="S220" s="141"/>
      <c r="T220" s="141"/>
      <c r="U220" s="141"/>
      <c r="V220" s="141"/>
      <c r="W220" s="141"/>
      <c r="X220" s="141"/>
      <c r="Y220" s="141"/>
      <c r="Z220" s="141"/>
      <c r="AA220" s="141"/>
      <c r="AB220" s="141"/>
      <c r="AC220" s="141"/>
      <c r="AD220" s="141"/>
      <c r="AE220" s="141"/>
      <c r="AF220" s="141"/>
      <c r="AG220" s="141"/>
      <c r="AH220" s="141"/>
      <c r="AI220" s="141"/>
      <c r="AJ220" s="141"/>
      <c r="AK220" s="141"/>
      <c r="AL220" s="141"/>
      <c r="AM220" s="141"/>
      <c r="AN220" s="141"/>
      <c r="AO220" s="141"/>
      <c r="AP220" s="141"/>
      <c r="AQ220" s="141"/>
      <c r="AR220" s="141"/>
      <c r="AS220" s="141"/>
      <c r="AT220" s="141"/>
      <c r="AU220" s="141"/>
      <c r="AV220" s="141"/>
      <c r="AW220" s="141"/>
      <c r="AX220" s="141"/>
      <c r="AY220" s="141"/>
      <c r="AZ220" s="141"/>
      <c r="BA220" s="141"/>
      <c r="BB220" s="141"/>
      <c r="BC220" s="141"/>
      <c r="BD220" s="141"/>
      <c r="BE220" s="141"/>
      <c r="BF220" s="141"/>
      <c r="BG220" s="141"/>
      <c r="BH220" s="141"/>
      <c r="BI220" s="141"/>
      <c r="BJ220" s="141"/>
      <c r="BK220" s="141"/>
      <c r="BL220" s="141"/>
      <c r="BM220" s="141"/>
    </row>
    <row r="221" spans="1:65" ht="13.5" outlineLevel="2" x14ac:dyDescent="0.2">
      <c r="A221" s="133"/>
      <c r="B221" s="280"/>
      <c r="C221" s="299" t="s">
        <v>277</v>
      </c>
      <c r="D221" s="300"/>
      <c r="E221" s="290">
        <v>0</v>
      </c>
      <c r="F221" s="290">
        <v>0</v>
      </c>
      <c r="G221" s="302" t="s">
        <v>278</v>
      </c>
      <c r="H221" s="292">
        <f>E221*Données!$D$410*Données!$D$411*Données!$D$412</f>
        <v>0</v>
      </c>
      <c r="I221" s="292">
        <f>F221*Données!$D$410*Données!$D$411*Données!$D$412</f>
        <v>0</v>
      </c>
      <c r="J221" s="286"/>
      <c r="K221" s="176"/>
      <c r="L221" s="141"/>
      <c r="M221" s="141"/>
      <c r="N221" s="141"/>
      <c r="O221" s="141"/>
      <c r="P221" s="141"/>
      <c r="Q221" s="141"/>
      <c r="R221" s="141"/>
      <c r="S221" s="141"/>
      <c r="T221" s="141"/>
      <c r="U221" s="141"/>
      <c r="V221" s="141"/>
      <c r="W221" s="141"/>
      <c r="X221" s="141"/>
      <c r="Y221" s="141"/>
      <c r="Z221" s="141"/>
      <c r="AA221" s="141"/>
      <c r="AB221" s="141"/>
      <c r="AC221" s="141"/>
      <c r="AD221" s="141"/>
      <c r="AE221" s="141"/>
      <c r="AF221" s="141"/>
      <c r="AG221" s="141"/>
      <c r="AH221" s="141"/>
      <c r="AI221" s="141"/>
      <c r="AJ221" s="141"/>
      <c r="AK221" s="141"/>
      <c r="AL221" s="141"/>
      <c r="AM221" s="141"/>
      <c r="AN221" s="141"/>
      <c r="AO221" s="141"/>
      <c r="AP221" s="141"/>
      <c r="AQ221" s="141"/>
      <c r="AR221" s="141"/>
      <c r="AS221" s="141"/>
      <c r="AT221" s="141"/>
      <c r="AU221" s="141"/>
      <c r="AV221" s="141"/>
      <c r="AW221" s="141"/>
      <c r="AX221" s="141"/>
      <c r="AY221" s="141"/>
      <c r="AZ221" s="141"/>
      <c r="BA221" s="141"/>
      <c r="BB221" s="141"/>
      <c r="BC221" s="141"/>
      <c r="BD221" s="141"/>
      <c r="BE221" s="141"/>
      <c r="BF221" s="141"/>
      <c r="BG221" s="141"/>
      <c r="BH221" s="141"/>
      <c r="BI221" s="141"/>
      <c r="BJ221" s="141"/>
      <c r="BK221" s="141"/>
      <c r="BL221" s="141"/>
      <c r="BM221" s="141"/>
    </row>
    <row r="222" spans="1:65" ht="16.5" customHeight="1" outlineLevel="2" x14ac:dyDescent="0.2">
      <c r="A222" s="133"/>
      <c r="B222" s="294"/>
      <c r="C222" s="295" t="str">
        <f>CONCATENATE("consommation électrique ",B214)</f>
        <v>consommation électrique Bureaux</v>
      </c>
      <c r="D222" s="296"/>
      <c r="E222" s="298">
        <f>VLOOKUP(E$201,Données!$B$406:$G$409,3,FALSE())*(IF($B214=Données!$A435,E214*Données!D437+E215*VLOOKUP(E216,Données!$B$439:$G$442,3,FALSE())+E217*VLOOKUP(E218,Données!$B$444:$G$447,3,FALSE())+E219*VLOOKUP(E220,Données!$B$449:$G$452,3,FALSE()),IF($B214=Données!$A453,E214*Données!D455+E215*VLOOKUP(E216,Données!$B$457:$G$460,3,FALSE())+E217*VLOOKUP(E218,Données!$B$462:$G$465,3,FALSE())+E219*VLOOKUP(E220,Données!$B$467:$G$470,3,FALSE()),IF($B214=Données!$A471,E214*Données!D473+E215*VLOOKUP(E216,Données!$B$475:$G$478,3,FALSE())+E217*VLOOKUP(E218,Données!$B$480:$G$483,3,FALSE())+E219*VLOOKUP(E220,Données!$B$485:$G$488,3,FALSE()),E214*Données!D491+E215*VLOOKUP(E216,Données!$B$493:$G$496,3,FALSE())+E217*VLOOKUP(E218,Données!$B$498:$G$501,3,FALSE())+E219*VLOOKUP(E220,Données!$B$503:$G$506,3,FALSE())))))</f>
        <v>0</v>
      </c>
      <c r="F222" s="298">
        <f>VLOOKUP(F$201,Données!$B$406:$G$409,5,FALSE())*(IF($B214=Données!$A435,F214*Données!E437+F215*VLOOKUP(F216,Données!$B$439:$G$442,5,FALSE())+F217*VLOOKUP(F218,Données!$B$444:$G$447,5,FALSE())+F219*VLOOKUP(F220,Données!$B$449:$G$452,5,FALSE()),IF($B214=Données!$A453,F214*Données!E455+F215*VLOOKUP(F216,Données!$B$457:$G$460,5,FALSE())+F217*VLOOKUP(F218,Données!$B$462:$G$465,5,FALSE())+F219*VLOOKUP(F220,Données!$B$467:$G$470,5,FALSE()),IF($B214=Données!$A471,F214*Données!E473+F215*VLOOKUP(F216,Données!$B$475:$G$478,5,FALSE())+F217*VLOOKUP(F218,Données!$B$480:$G$483,5,FALSE())+F219*VLOOKUP(F220,Données!$B$485:$G$488,5,FALSE()),F214*Données!E491+F215*VLOOKUP(F216,Données!$B$493:$G$496,5,FALSE())+F217*VLOOKUP(F218,Données!$B$498:$G$501,5,FALSE())+F219*VLOOKUP(F220,Données!$B$503:$G$506,5,FALSE())))))</f>
        <v>0</v>
      </c>
      <c r="G222" s="291" t="s">
        <v>258</v>
      </c>
      <c r="H222" s="292">
        <f>E222*Données!$D507</f>
        <v>0</v>
      </c>
      <c r="I222" s="292">
        <f>F222*Données!$D507</f>
        <v>0</v>
      </c>
      <c r="J222" s="310"/>
      <c r="K222" s="176"/>
      <c r="L222" s="141"/>
      <c r="M222" s="141"/>
      <c r="N222" s="141"/>
      <c r="O222" s="141"/>
      <c r="P222" s="141"/>
      <c r="Q222" s="141"/>
      <c r="R222" s="141"/>
      <c r="S222" s="141"/>
      <c r="T222" s="141"/>
      <c r="U222" s="141"/>
      <c r="V222" s="141"/>
      <c r="W222" s="141"/>
      <c r="X222" s="141"/>
      <c r="Y222" s="141"/>
      <c r="Z222" s="141"/>
      <c r="AA222" s="141"/>
      <c r="AB222" s="141"/>
      <c r="AC222" s="141"/>
      <c r="AD222" s="141"/>
      <c r="AE222" s="141"/>
      <c r="AF222" s="141"/>
      <c r="AG222" s="141"/>
      <c r="AH222" s="141"/>
      <c r="AI222" s="141"/>
      <c r="AJ222" s="141"/>
      <c r="AK222" s="141"/>
      <c r="AL222" s="141"/>
      <c r="AM222" s="141"/>
      <c r="AN222" s="141"/>
      <c r="AO222" s="141"/>
      <c r="AP222" s="141"/>
      <c r="AQ222" s="141"/>
      <c r="AR222" s="141"/>
      <c r="AS222" s="141"/>
      <c r="AT222" s="141"/>
      <c r="AU222" s="141"/>
      <c r="AV222" s="141"/>
      <c r="AW222" s="141"/>
      <c r="AX222" s="141"/>
      <c r="AY222" s="141"/>
      <c r="AZ222" s="141"/>
      <c r="BA222" s="141"/>
      <c r="BB222" s="141"/>
      <c r="BC222" s="141"/>
      <c r="BD222" s="141"/>
      <c r="BE222" s="141"/>
      <c r="BF222" s="141"/>
      <c r="BG222" s="141"/>
      <c r="BH222" s="141"/>
      <c r="BI222" s="141"/>
      <c r="BJ222" s="141"/>
      <c r="BK222" s="141"/>
      <c r="BL222" s="141"/>
      <c r="BM222" s="141"/>
    </row>
    <row r="223" spans="1:65" ht="5.25" customHeight="1" outlineLevel="2" x14ac:dyDescent="0.2">
      <c r="A223" s="133"/>
      <c r="B223" s="311"/>
      <c r="C223" s="312"/>
      <c r="D223" s="313"/>
      <c r="E223" s="314"/>
      <c r="F223" s="314"/>
      <c r="G223" s="315"/>
      <c r="H223" s="314"/>
      <c r="I223" s="314"/>
      <c r="J223" s="286"/>
      <c r="K223" s="144"/>
      <c r="L223" s="141"/>
      <c r="M223" s="141"/>
      <c r="N223" s="141"/>
      <c r="O223" s="141"/>
      <c r="P223" s="141"/>
      <c r="Q223" s="141"/>
      <c r="R223" s="141"/>
      <c r="S223" s="141"/>
      <c r="T223" s="141"/>
      <c r="U223" s="141"/>
      <c r="V223" s="141"/>
      <c r="W223" s="141"/>
      <c r="X223" s="141"/>
      <c r="Y223" s="141"/>
      <c r="Z223" s="141"/>
      <c r="AA223" s="141"/>
      <c r="AB223" s="141"/>
      <c r="AC223" s="141"/>
      <c r="AD223" s="141"/>
      <c r="AE223" s="141"/>
      <c r="AF223" s="141"/>
      <c r="AG223" s="141"/>
      <c r="AH223" s="141"/>
      <c r="AI223" s="141"/>
      <c r="AJ223" s="141"/>
      <c r="AK223" s="141"/>
      <c r="AL223" s="141"/>
      <c r="AM223" s="141"/>
      <c r="AN223" s="141"/>
      <c r="AO223" s="141"/>
      <c r="AP223" s="141"/>
      <c r="AQ223" s="141"/>
      <c r="AR223" s="141"/>
      <c r="AS223" s="141"/>
      <c r="AT223" s="141"/>
      <c r="AU223" s="141"/>
      <c r="AV223" s="141"/>
      <c r="AW223" s="141"/>
      <c r="AX223" s="141"/>
      <c r="AY223" s="141"/>
      <c r="AZ223" s="141"/>
      <c r="BA223" s="141"/>
      <c r="BB223" s="141"/>
      <c r="BC223" s="141"/>
      <c r="BD223" s="141"/>
      <c r="BE223" s="141"/>
      <c r="BF223" s="141"/>
      <c r="BG223" s="141"/>
      <c r="BH223" s="141"/>
      <c r="BI223" s="141"/>
      <c r="BJ223" s="141"/>
      <c r="BK223" s="141"/>
      <c r="BL223" s="141"/>
      <c r="BM223" s="141"/>
    </row>
    <row r="224" spans="1:65" ht="16.5" customHeight="1" outlineLevel="2" x14ac:dyDescent="0.2">
      <c r="A224" s="133"/>
      <c r="B224" s="294"/>
      <c r="C224" s="299" t="s">
        <v>259</v>
      </c>
      <c r="D224" s="300"/>
      <c r="E224" s="301" t="e">
        <f>(E212+E222)/E$18</f>
        <v>#DIV/0!</v>
      </c>
      <c r="F224" s="301" t="e">
        <f>(F212+F222)/F$18</f>
        <v>#DIV/0!</v>
      </c>
      <c r="G224" s="302" t="s">
        <v>260</v>
      </c>
      <c r="H224" s="292"/>
      <c r="I224" s="292"/>
      <c r="J224" s="310"/>
      <c r="K224" s="176"/>
      <c r="L224" s="141"/>
      <c r="M224" s="141"/>
      <c r="N224" s="141"/>
      <c r="O224" s="141"/>
      <c r="P224" s="141"/>
      <c r="Q224" s="141"/>
      <c r="R224" s="141"/>
      <c r="S224" s="141"/>
      <c r="T224" s="141"/>
      <c r="U224" s="141"/>
      <c r="V224" s="141"/>
      <c r="W224" s="141"/>
      <c r="X224" s="141"/>
      <c r="Y224" s="141"/>
      <c r="Z224" s="141"/>
      <c r="AA224" s="141"/>
      <c r="AB224" s="141"/>
      <c r="AC224" s="141"/>
      <c r="AD224" s="141"/>
      <c r="AE224" s="141"/>
      <c r="AF224" s="141"/>
      <c r="AG224" s="141"/>
      <c r="AH224" s="141"/>
      <c r="AI224" s="141"/>
      <c r="AJ224" s="141"/>
      <c r="AK224" s="141"/>
      <c r="AL224" s="141"/>
      <c r="AM224" s="141"/>
      <c r="AN224" s="141"/>
      <c r="AO224" s="141"/>
      <c r="AP224" s="141"/>
      <c r="AQ224" s="141"/>
      <c r="AR224" s="141"/>
      <c r="AS224" s="141"/>
      <c r="AT224" s="141"/>
      <c r="AU224" s="141"/>
      <c r="AV224" s="141"/>
      <c r="AW224" s="141"/>
      <c r="AX224" s="141"/>
      <c r="AY224" s="141"/>
      <c r="AZ224" s="141"/>
      <c r="BA224" s="141"/>
      <c r="BB224" s="141"/>
      <c r="BC224" s="141"/>
      <c r="BD224" s="141"/>
      <c r="BE224" s="141"/>
      <c r="BF224" s="141"/>
      <c r="BG224" s="141"/>
      <c r="BH224" s="141"/>
      <c r="BI224" s="141"/>
      <c r="BJ224" s="141"/>
      <c r="BK224" s="141"/>
      <c r="BL224" s="141"/>
      <c r="BM224" s="141"/>
    </row>
    <row r="225" spans="1:65" ht="13.5" outlineLevel="1" x14ac:dyDescent="0.2">
      <c r="A225" s="133"/>
      <c r="B225" s="216"/>
      <c r="C225" s="171"/>
      <c r="D225" s="178"/>
      <c r="E225" s="179"/>
      <c r="F225" s="303"/>
      <c r="G225" s="304"/>
      <c r="H225" s="144"/>
      <c r="I225" s="144"/>
      <c r="J225" s="163"/>
      <c r="K225" s="144"/>
      <c r="L225" s="141"/>
      <c r="M225" s="141"/>
      <c r="N225" s="141"/>
      <c r="O225" s="141"/>
      <c r="P225" s="141"/>
      <c r="Q225" s="141"/>
      <c r="R225" s="141"/>
      <c r="S225" s="141"/>
      <c r="T225" s="141"/>
      <c r="U225" s="141"/>
      <c r="V225" s="141"/>
      <c r="W225" s="141"/>
      <c r="X225" s="141"/>
      <c r="Y225" s="141"/>
      <c r="Z225" s="141"/>
      <c r="AA225" s="141"/>
      <c r="AB225" s="141"/>
      <c r="AC225" s="141"/>
      <c r="AD225" s="141"/>
      <c r="AE225" s="141"/>
      <c r="AF225" s="141"/>
      <c r="AG225" s="141"/>
      <c r="AH225" s="141"/>
      <c r="AI225" s="141"/>
      <c r="AJ225" s="141"/>
      <c r="AK225" s="141"/>
      <c r="AL225" s="141"/>
      <c r="AM225" s="141"/>
      <c r="AN225" s="141"/>
      <c r="AO225" s="141"/>
      <c r="AP225" s="141"/>
      <c r="AQ225" s="141"/>
      <c r="AR225" s="141"/>
      <c r="AS225" s="141"/>
      <c r="AT225" s="141"/>
      <c r="AU225" s="141"/>
      <c r="AV225" s="141"/>
      <c r="AW225" s="141"/>
      <c r="AX225" s="141"/>
      <c r="AY225" s="141"/>
      <c r="AZ225" s="141"/>
      <c r="BA225" s="141"/>
      <c r="BB225" s="141"/>
      <c r="BC225" s="141"/>
      <c r="BD225" s="141"/>
      <c r="BE225" s="141"/>
      <c r="BF225" s="141"/>
      <c r="BG225" s="141"/>
      <c r="BH225" s="141"/>
      <c r="BI225" s="141"/>
      <c r="BJ225" s="141"/>
      <c r="BK225" s="141"/>
      <c r="BL225" s="141"/>
      <c r="BM225" s="141"/>
    </row>
    <row r="226" spans="1:65" ht="16.5" customHeight="1" outlineLevel="1" x14ac:dyDescent="0.2">
      <c r="A226" s="133"/>
      <c r="B226" s="272" t="s">
        <v>279</v>
      </c>
      <c r="C226" s="273"/>
      <c r="D226" s="274" t="s">
        <v>280</v>
      </c>
      <c r="E226" s="277"/>
      <c r="F226" s="277"/>
      <c r="G226" s="305"/>
      <c r="H226" s="277"/>
      <c r="I226" s="277"/>
      <c r="J226" s="278"/>
      <c r="K226" s="279"/>
      <c r="L226" s="141"/>
      <c r="M226" s="141"/>
      <c r="N226" s="141"/>
      <c r="O226" s="141"/>
      <c r="P226" s="141"/>
      <c r="Q226" s="141"/>
      <c r="R226" s="141"/>
      <c r="S226" s="141"/>
      <c r="T226" s="141"/>
      <c r="U226" s="141"/>
      <c r="V226" s="141"/>
      <c r="W226" s="141"/>
      <c r="X226" s="141"/>
      <c r="Y226" s="141"/>
      <c r="Z226" s="141"/>
      <c r="AA226" s="141"/>
      <c r="AB226" s="141"/>
      <c r="AC226" s="141"/>
      <c r="AD226" s="141"/>
      <c r="AE226" s="141"/>
      <c r="AF226" s="141"/>
      <c r="AG226" s="141"/>
      <c r="AH226" s="141"/>
      <c r="AI226" s="141"/>
      <c r="AJ226" s="141"/>
      <c r="AK226" s="141"/>
      <c r="AL226" s="141"/>
      <c r="AM226" s="141"/>
      <c r="AN226" s="141"/>
      <c r="AO226" s="141"/>
      <c r="AP226" s="141"/>
      <c r="AQ226" s="141"/>
      <c r="AR226" s="141"/>
      <c r="AS226" s="141"/>
      <c r="AT226" s="141"/>
      <c r="AU226" s="141"/>
      <c r="AV226" s="141"/>
      <c r="AW226" s="141"/>
      <c r="AX226" s="141"/>
      <c r="AY226" s="141"/>
      <c r="AZ226" s="141"/>
      <c r="BA226" s="141"/>
      <c r="BB226" s="141"/>
      <c r="BC226" s="141"/>
      <c r="BD226" s="141"/>
      <c r="BE226" s="141"/>
      <c r="BF226" s="141"/>
      <c r="BG226" s="141"/>
      <c r="BH226" s="141"/>
      <c r="BI226" s="141"/>
      <c r="BJ226" s="141"/>
      <c r="BK226" s="141"/>
      <c r="BL226" s="141"/>
      <c r="BM226" s="141"/>
    </row>
    <row r="227" spans="1:65" ht="13.5" outlineLevel="2" x14ac:dyDescent="0.2">
      <c r="A227" s="133"/>
      <c r="B227" s="280" t="s">
        <v>12</v>
      </c>
      <c r="C227" s="307" t="s">
        <v>281</v>
      </c>
      <c r="D227" s="308"/>
      <c r="E227" s="318" t="s">
        <v>139</v>
      </c>
      <c r="F227" s="318" t="s">
        <v>139</v>
      </c>
      <c r="G227" s="309" t="s">
        <v>143</v>
      </c>
      <c r="H227" s="285"/>
      <c r="I227" s="285"/>
      <c r="J227" s="286"/>
      <c r="K227" s="203"/>
      <c r="L227" s="141"/>
      <c r="M227" s="141"/>
      <c r="N227" s="141"/>
      <c r="O227" s="141"/>
      <c r="P227" s="141"/>
      <c r="Q227" s="141"/>
      <c r="R227" s="141"/>
      <c r="S227" s="141"/>
      <c r="T227" s="141"/>
      <c r="U227" s="141"/>
      <c r="V227" s="141"/>
      <c r="W227" s="141"/>
      <c r="X227" s="141"/>
      <c r="Y227" s="141"/>
      <c r="Z227" s="141"/>
      <c r="AA227" s="141"/>
      <c r="AB227" s="141"/>
      <c r="AC227" s="141"/>
      <c r="AD227" s="141"/>
      <c r="AE227" s="141"/>
      <c r="AF227" s="141"/>
      <c r="AG227" s="141"/>
      <c r="AH227" s="141"/>
      <c r="AI227" s="141"/>
      <c r="AJ227" s="141"/>
      <c r="AK227" s="141"/>
      <c r="AL227" s="141"/>
      <c r="AM227" s="141"/>
      <c r="AN227" s="141"/>
      <c r="AO227" s="141"/>
      <c r="AP227" s="141"/>
      <c r="AQ227" s="141"/>
      <c r="AR227" s="141"/>
      <c r="AS227" s="141"/>
      <c r="AT227" s="141"/>
      <c r="AU227" s="141"/>
      <c r="AV227" s="141"/>
      <c r="AW227" s="141"/>
      <c r="AX227" s="141"/>
      <c r="AY227" s="141"/>
      <c r="AZ227" s="141"/>
      <c r="BA227" s="141"/>
      <c r="BB227" s="141"/>
      <c r="BC227" s="141"/>
      <c r="BD227" s="141"/>
      <c r="BE227" s="141"/>
      <c r="BF227" s="141"/>
      <c r="BG227" s="141"/>
      <c r="BH227" s="141"/>
      <c r="BI227" s="141"/>
      <c r="BJ227" s="141"/>
      <c r="BK227" s="141"/>
      <c r="BL227" s="141"/>
      <c r="BM227" s="141"/>
    </row>
    <row r="228" spans="1:65" ht="13.5" outlineLevel="2" x14ac:dyDescent="0.2">
      <c r="A228" s="133"/>
      <c r="B228" s="319" t="s">
        <v>282</v>
      </c>
      <c r="C228" s="299" t="s">
        <v>281</v>
      </c>
      <c r="D228" s="300"/>
      <c r="E228" s="317" t="s">
        <v>139</v>
      </c>
      <c r="F228" s="317" t="s">
        <v>139</v>
      </c>
      <c r="G228" s="302" t="s">
        <v>143</v>
      </c>
      <c r="H228" s="292"/>
      <c r="I228" s="292"/>
      <c r="J228" s="286"/>
      <c r="K228" s="176"/>
      <c r="L228" s="141"/>
      <c r="M228" s="141"/>
      <c r="N228" s="141"/>
      <c r="O228" s="141"/>
      <c r="P228" s="141"/>
      <c r="Q228" s="141"/>
      <c r="R228" s="141"/>
      <c r="S228" s="141"/>
      <c r="T228" s="141"/>
      <c r="U228" s="141"/>
      <c r="V228" s="141"/>
      <c r="W228" s="141"/>
      <c r="X228" s="141"/>
      <c r="Y228" s="141"/>
      <c r="Z228" s="141"/>
      <c r="AA228" s="141"/>
      <c r="AB228" s="141"/>
      <c r="AC228" s="141"/>
      <c r="AD228" s="141"/>
      <c r="AE228" s="141"/>
      <c r="AF228" s="141"/>
      <c r="AG228" s="141"/>
      <c r="AH228" s="141"/>
      <c r="AI228" s="141"/>
      <c r="AJ228" s="141"/>
      <c r="AK228" s="141"/>
      <c r="AL228" s="141"/>
      <c r="AM228" s="141"/>
      <c r="AN228" s="141"/>
      <c r="AO228" s="141"/>
      <c r="AP228" s="141"/>
      <c r="AQ228" s="141"/>
      <c r="AR228" s="141"/>
      <c r="AS228" s="141"/>
      <c r="AT228" s="141"/>
      <c r="AU228" s="141"/>
      <c r="AV228" s="141"/>
      <c r="AW228" s="141"/>
      <c r="AX228" s="141"/>
      <c r="AY228" s="141"/>
      <c r="AZ228" s="141"/>
      <c r="BA228" s="141"/>
      <c r="BB228" s="141"/>
      <c r="BC228" s="141"/>
      <c r="BD228" s="141"/>
      <c r="BE228" s="141"/>
      <c r="BF228" s="141"/>
      <c r="BG228" s="141"/>
      <c r="BH228" s="141"/>
      <c r="BI228" s="141"/>
      <c r="BJ228" s="141"/>
      <c r="BK228" s="141"/>
      <c r="BL228" s="141"/>
      <c r="BM228" s="141"/>
    </row>
    <row r="229" spans="1:65" ht="16.5" customHeight="1" outlineLevel="2" x14ac:dyDescent="0.2">
      <c r="A229" s="133"/>
      <c r="B229" s="294"/>
      <c r="C229" s="295" t="s">
        <v>268</v>
      </c>
      <c r="D229" s="296"/>
      <c r="E229" s="297">
        <f>E15*VLOOKUP(E227,Données!$B$511:$G$514,3,FALSE())+E16*VLOOKUP(E228,Données!$B$516:$G$519,3,FALSE())</f>
        <v>0</v>
      </c>
      <c r="F229" s="297">
        <f>F15*VLOOKUP(F227,Données!$B$511:$G$514,5,FALSE())+F16*VLOOKUP(F228,Données!$B$516:$G$519,5,FALSE())</f>
        <v>0</v>
      </c>
      <c r="G229" s="291" t="s">
        <v>258</v>
      </c>
      <c r="H229" s="292">
        <f>E229*Données!$D520</f>
        <v>0</v>
      </c>
      <c r="I229" s="292">
        <f>F229*Données!$D520</f>
        <v>0</v>
      </c>
      <c r="J229" s="310"/>
      <c r="K229" s="176"/>
      <c r="L229" s="141"/>
      <c r="M229" s="141"/>
      <c r="N229" s="141"/>
      <c r="O229" s="141"/>
      <c r="P229" s="141"/>
      <c r="Q229" s="141"/>
      <c r="R229" s="141"/>
      <c r="S229" s="141"/>
      <c r="T229" s="141"/>
      <c r="U229" s="141"/>
      <c r="V229" s="141"/>
      <c r="W229" s="141"/>
      <c r="X229" s="141"/>
      <c r="Y229" s="141"/>
      <c r="Z229" s="141"/>
      <c r="AA229" s="141"/>
      <c r="AB229" s="141"/>
      <c r="AC229" s="141"/>
      <c r="AD229" s="141"/>
      <c r="AE229" s="141"/>
      <c r="AF229" s="141"/>
      <c r="AG229" s="141"/>
      <c r="AH229" s="141"/>
      <c r="AI229" s="141"/>
      <c r="AJ229" s="141"/>
      <c r="AK229" s="141"/>
      <c r="AL229" s="141"/>
      <c r="AM229" s="141"/>
      <c r="AN229" s="141"/>
      <c r="AO229" s="141"/>
      <c r="AP229" s="141"/>
      <c r="AQ229" s="141"/>
      <c r="AR229" s="141"/>
      <c r="AS229" s="141"/>
      <c r="AT229" s="141"/>
      <c r="AU229" s="141"/>
      <c r="AV229" s="141"/>
      <c r="AW229" s="141"/>
      <c r="AX229" s="141"/>
      <c r="AY229" s="141"/>
      <c r="AZ229" s="141"/>
      <c r="BA229" s="141"/>
      <c r="BB229" s="141"/>
      <c r="BC229" s="141"/>
      <c r="BD229" s="141"/>
      <c r="BE229" s="141"/>
      <c r="BF229" s="141"/>
      <c r="BG229" s="141"/>
      <c r="BH229" s="141"/>
      <c r="BI229" s="141"/>
      <c r="BJ229" s="141"/>
      <c r="BK229" s="141"/>
      <c r="BL229" s="141"/>
      <c r="BM229" s="141"/>
    </row>
    <row r="230" spans="1:65" ht="5.25" customHeight="1" outlineLevel="2" x14ac:dyDescent="0.2">
      <c r="A230" s="133"/>
      <c r="B230" s="311"/>
      <c r="C230" s="312"/>
      <c r="D230" s="313"/>
      <c r="E230" s="314"/>
      <c r="F230" s="314"/>
      <c r="G230" s="315"/>
      <c r="H230" s="314"/>
      <c r="I230" s="314"/>
      <c r="J230" s="286"/>
      <c r="K230" s="144"/>
      <c r="L230" s="141"/>
      <c r="M230" s="141"/>
      <c r="N230" s="141"/>
      <c r="O230" s="141"/>
      <c r="P230" s="141"/>
      <c r="Q230" s="141"/>
      <c r="R230" s="141"/>
      <c r="S230" s="141"/>
      <c r="T230" s="141"/>
      <c r="U230" s="141"/>
      <c r="V230" s="141"/>
      <c r="W230" s="141"/>
      <c r="X230" s="141"/>
      <c r="Y230" s="141"/>
      <c r="Z230" s="141"/>
      <c r="AA230" s="141"/>
      <c r="AB230" s="141"/>
      <c r="AC230" s="141"/>
      <c r="AD230" s="141"/>
      <c r="AE230" s="141"/>
      <c r="AF230" s="141"/>
      <c r="AG230" s="141"/>
      <c r="AH230" s="141"/>
      <c r="AI230" s="141"/>
      <c r="AJ230" s="141"/>
      <c r="AK230" s="141"/>
      <c r="AL230" s="141"/>
      <c r="AM230" s="141"/>
      <c r="AN230" s="141"/>
      <c r="AO230" s="141"/>
      <c r="AP230" s="141"/>
      <c r="AQ230" s="141"/>
      <c r="AR230" s="141"/>
      <c r="AS230" s="141"/>
      <c r="AT230" s="141"/>
      <c r="AU230" s="141"/>
      <c r="AV230" s="141"/>
      <c r="AW230" s="141"/>
      <c r="AX230" s="141"/>
      <c r="AY230" s="141"/>
      <c r="AZ230" s="141"/>
      <c r="BA230" s="141"/>
      <c r="BB230" s="141"/>
      <c r="BC230" s="141"/>
      <c r="BD230" s="141"/>
      <c r="BE230" s="141"/>
      <c r="BF230" s="141"/>
      <c r="BG230" s="141"/>
      <c r="BH230" s="141"/>
      <c r="BI230" s="141"/>
      <c r="BJ230" s="141"/>
      <c r="BK230" s="141"/>
      <c r="BL230" s="141"/>
      <c r="BM230" s="141"/>
    </row>
    <row r="231" spans="1:65" ht="13.5" outlineLevel="2" x14ac:dyDescent="0.2">
      <c r="A231" s="133"/>
      <c r="B231" s="320" t="str">
        <f>IF(PROJET!$E$9=0,"Tertiaire",$C$17)</f>
        <v>Tertiaire</v>
      </c>
      <c r="C231" s="299" t="s">
        <v>283</v>
      </c>
      <c r="D231" s="300"/>
      <c r="E231" s="290">
        <v>0</v>
      </c>
      <c r="F231" s="290">
        <v>0</v>
      </c>
      <c r="G231" s="291" t="s">
        <v>106</v>
      </c>
      <c r="H231" s="292"/>
      <c r="I231" s="292"/>
      <c r="J231" s="286"/>
      <c r="K231" s="176"/>
      <c r="L231" s="141"/>
      <c r="M231" s="141"/>
      <c r="N231" s="141"/>
      <c r="O231" s="141"/>
      <c r="P231" s="141"/>
      <c r="Q231" s="141"/>
      <c r="R231" s="141"/>
      <c r="S231" s="141"/>
      <c r="T231" s="141"/>
      <c r="U231" s="141"/>
      <c r="V231" s="141"/>
      <c r="W231" s="141"/>
      <c r="X231" s="141"/>
      <c r="Y231" s="141"/>
      <c r="Z231" s="141"/>
      <c r="AA231" s="141"/>
      <c r="AB231" s="141"/>
      <c r="AC231" s="141"/>
      <c r="AD231" s="141"/>
      <c r="AE231" s="141"/>
      <c r="AF231" s="141"/>
      <c r="AG231" s="141"/>
      <c r="AH231" s="141"/>
      <c r="AI231" s="141"/>
      <c r="AJ231" s="141"/>
      <c r="AK231" s="141"/>
      <c r="AL231" s="141"/>
      <c r="AM231" s="141"/>
      <c r="AN231" s="141"/>
      <c r="AO231" s="141"/>
      <c r="AP231" s="141"/>
      <c r="AQ231" s="141"/>
      <c r="AR231" s="141"/>
      <c r="AS231" s="141"/>
      <c r="AT231" s="141"/>
      <c r="AU231" s="141"/>
      <c r="AV231" s="141"/>
      <c r="AW231" s="141"/>
      <c r="AX231" s="141"/>
      <c r="AY231" s="141"/>
      <c r="AZ231" s="141"/>
      <c r="BA231" s="141"/>
      <c r="BB231" s="141"/>
      <c r="BC231" s="141"/>
      <c r="BD231" s="141"/>
      <c r="BE231" s="141"/>
      <c r="BF231" s="141"/>
      <c r="BG231" s="141"/>
      <c r="BH231" s="141"/>
      <c r="BI231" s="141"/>
      <c r="BJ231" s="141"/>
      <c r="BK231" s="141"/>
      <c r="BL231" s="141"/>
      <c r="BM231" s="141"/>
    </row>
    <row r="232" spans="1:65" ht="16.5" customHeight="1" outlineLevel="2" x14ac:dyDescent="0.2">
      <c r="A232" s="133"/>
      <c r="B232" s="280"/>
      <c r="C232" s="299" t="s">
        <v>281</v>
      </c>
      <c r="D232" s="300"/>
      <c r="E232" s="290" t="s">
        <v>139</v>
      </c>
      <c r="F232" s="290" t="s">
        <v>139</v>
      </c>
      <c r="G232" s="302" t="s">
        <v>143</v>
      </c>
      <c r="H232" s="292"/>
      <c r="I232" s="292"/>
      <c r="J232" s="310"/>
      <c r="K232" s="176"/>
      <c r="L232" s="141"/>
      <c r="M232" s="141"/>
      <c r="N232" s="141"/>
      <c r="O232" s="141"/>
      <c r="P232" s="141"/>
      <c r="Q232" s="141"/>
      <c r="R232" s="141"/>
      <c r="S232" s="141"/>
      <c r="T232" s="141"/>
      <c r="U232" s="141"/>
      <c r="V232" s="141"/>
      <c r="W232" s="141"/>
      <c r="X232" s="141"/>
      <c r="Y232" s="141"/>
      <c r="Z232" s="141"/>
      <c r="AA232" s="141"/>
      <c r="AB232" s="141"/>
      <c r="AC232" s="141"/>
      <c r="AD232" s="141"/>
      <c r="AE232" s="141"/>
      <c r="AF232" s="141"/>
      <c r="AG232" s="141"/>
      <c r="AH232" s="141"/>
      <c r="AI232" s="141"/>
      <c r="AJ232" s="141"/>
      <c r="AK232" s="141"/>
      <c r="AL232" s="141"/>
      <c r="AM232" s="141"/>
      <c r="AN232" s="141"/>
      <c r="AO232" s="141"/>
      <c r="AP232" s="141"/>
      <c r="AQ232" s="141"/>
      <c r="AR232" s="141"/>
      <c r="AS232" s="141"/>
      <c r="AT232" s="141"/>
      <c r="AU232" s="141"/>
      <c r="AV232" s="141"/>
      <c r="AW232" s="141"/>
      <c r="AX232" s="141"/>
      <c r="AY232" s="141"/>
      <c r="AZ232" s="141"/>
      <c r="BA232" s="141"/>
      <c r="BB232" s="141"/>
      <c r="BC232" s="141"/>
      <c r="BD232" s="141"/>
      <c r="BE232" s="141"/>
      <c r="BF232" s="141"/>
      <c r="BG232" s="141"/>
      <c r="BH232" s="141"/>
      <c r="BI232" s="141"/>
      <c r="BJ232" s="141"/>
      <c r="BK232" s="141"/>
      <c r="BL232" s="141"/>
      <c r="BM232" s="141"/>
    </row>
    <row r="233" spans="1:65" ht="16.5" customHeight="1" outlineLevel="2" x14ac:dyDescent="0.2">
      <c r="A233" s="133"/>
      <c r="B233" s="280"/>
      <c r="C233" s="299" t="s">
        <v>284</v>
      </c>
      <c r="D233" s="300"/>
      <c r="E233" s="290">
        <v>0</v>
      </c>
      <c r="F233" s="290">
        <v>0</v>
      </c>
      <c r="G233" s="291" t="s">
        <v>106</v>
      </c>
      <c r="H233" s="292"/>
      <c r="I233" s="292"/>
      <c r="J233" s="310"/>
      <c r="K233" s="176"/>
      <c r="L233" s="141"/>
      <c r="M233" s="141"/>
      <c r="N233" s="141"/>
      <c r="O233" s="141"/>
      <c r="P233" s="141"/>
      <c r="Q233" s="141"/>
      <c r="R233" s="141"/>
      <c r="S233" s="141"/>
      <c r="T233" s="141"/>
      <c r="U233" s="141"/>
      <c r="V233" s="141"/>
      <c r="W233" s="141"/>
      <c r="X233" s="141"/>
      <c r="Y233" s="141"/>
      <c r="Z233" s="141"/>
      <c r="AA233" s="141"/>
      <c r="AB233" s="141"/>
      <c r="AC233" s="141"/>
      <c r="AD233" s="141"/>
      <c r="AE233" s="141"/>
      <c r="AF233" s="141"/>
      <c r="AG233" s="141"/>
      <c r="AH233" s="141"/>
      <c r="AI233" s="141"/>
      <c r="AJ233" s="141"/>
      <c r="AK233" s="141"/>
      <c r="AL233" s="141"/>
      <c r="AM233" s="141"/>
      <c r="AN233" s="141"/>
      <c r="AO233" s="141"/>
      <c r="AP233" s="141"/>
      <c r="AQ233" s="141"/>
      <c r="AR233" s="141"/>
      <c r="AS233" s="141"/>
      <c r="AT233" s="141"/>
      <c r="AU233" s="141"/>
      <c r="AV233" s="141"/>
      <c r="AW233" s="141"/>
      <c r="AX233" s="141"/>
      <c r="AY233" s="141"/>
      <c r="AZ233" s="141"/>
      <c r="BA233" s="141"/>
      <c r="BB233" s="141"/>
      <c r="BC233" s="141"/>
      <c r="BD233" s="141"/>
      <c r="BE233" s="141"/>
      <c r="BF233" s="141"/>
      <c r="BG233" s="141"/>
      <c r="BH233" s="141"/>
      <c r="BI233" s="141"/>
      <c r="BJ233" s="141"/>
      <c r="BK233" s="141"/>
      <c r="BL233" s="141"/>
      <c r="BM233" s="141"/>
    </row>
    <row r="234" spans="1:65" ht="16.5" customHeight="1" outlineLevel="2" x14ac:dyDescent="0.2">
      <c r="A234" s="133"/>
      <c r="B234" s="280"/>
      <c r="C234" s="299" t="s">
        <v>281</v>
      </c>
      <c r="D234" s="300"/>
      <c r="E234" s="290" t="s">
        <v>139</v>
      </c>
      <c r="F234" s="290" t="s">
        <v>139</v>
      </c>
      <c r="G234" s="302" t="s">
        <v>143</v>
      </c>
      <c r="H234" s="292"/>
      <c r="I234" s="292"/>
      <c r="J234" s="310"/>
      <c r="K234" s="176"/>
      <c r="L234" s="141"/>
      <c r="M234" s="141"/>
      <c r="N234" s="141"/>
      <c r="O234" s="141"/>
      <c r="P234" s="141"/>
      <c r="Q234" s="141"/>
      <c r="R234" s="141"/>
      <c r="S234" s="141"/>
      <c r="T234" s="141"/>
      <c r="U234" s="141"/>
      <c r="V234" s="141"/>
      <c r="W234" s="141"/>
      <c r="X234" s="141"/>
      <c r="Y234" s="141"/>
      <c r="Z234" s="141"/>
      <c r="AA234" s="141"/>
      <c r="AB234" s="141"/>
      <c r="AC234" s="141"/>
      <c r="AD234" s="141"/>
      <c r="AE234" s="141"/>
      <c r="AF234" s="141"/>
      <c r="AG234" s="141"/>
      <c r="AH234" s="141"/>
      <c r="AI234" s="141"/>
      <c r="AJ234" s="141"/>
      <c r="AK234" s="141"/>
      <c r="AL234" s="141"/>
      <c r="AM234" s="141"/>
      <c r="AN234" s="141"/>
      <c r="AO234" s="141"/>
      <c r="AP234" s="141"/>
      <c r="AQ234" s="141"/>
      <c r="AR234" s="141"/>
      <c r="AS234" s="141"/>
      <c r="AT234" s="141"/>
      <c r="AU234" s="141"/>
      <c r="AV234" s="141"/>
      <c r="AW234" s="141"/>
      <c r="AX234" s="141"/>
      <c r="AY234" s="141"/>
      <c r="AZ234" s="141"/>
      <c r="BA234" s="141"/>
      <c r="BB234" s="141"/>
      <c r="BC234" s="141"/>
      <c r="BD234" s="141"/>
      <c r="BE234" s="141"/>
      <c r="BF234" s="141"/>
      <c r="BG234" s="141"/>
      <c r="BH234" s="141"/>
      <c r="BI234" s="141"/>
      <c r="BJ234" s="141"/>
      <c r="BK234" s="141"/>
      <c r="BL234" s="141"/>
      <c r="BM234" s="141"/>
    </row>
    <row r="235" spans="1:65" ht="16.5" customHeight="1" outlineLevel="2" x14ac:dyDescent="0.2">
      <c r="A235" s="133"/>
      <c r="B235" s="280"/>
      <c r="C235" s="299" t="s">
        <v>285</v>
      </c>
      <c r="D235" s="300"/>
      <c r="E235" s="290" t="s">
        <v>139</v>
      </c>
      <c r="F235" s="290" t="s">
        <v>139</v>
      </c>
      <c r="G235" s="302" t="s">
        <v>143</v>
      </c>
      <c r="H235" s="292"/>
      <c r="I235" s="292"/>
      <c r="J235" s="310"/>
      <c r="K235" s="176"/>
      <c r="L235" s="141"/>
      <c r="M235" s="141"/>
      <c r="N235" s="141"/>
      <c r="O235" s="141"/>
      <c r="P235" s="141"/>
      <c r="Q235" s="141"/>
      <c r="R235" s="141"/>
      <c r="S235" s="141"/>
      <c r="T235" s="141"/>
      <c r="U235" s="141"/>
      <c r="V235" s="141"/>
      <c r="W235" s="141"/>
      <c r="X235" s="141"/>
      <c r="Y235" s="141"/>
      <c r="Z235" s="141"/>
      <c r="AA235" s="141"/>
      <c r="AB235" s="141"/>
      <c r="AC235" s="141"/>
      <c r="AD235" s="141"/>
      <c r="AE235" s="141"/>
      <c r="AF235" s="141"/>
      <c r="AG235" s="141"/>
      <c r="AH235" s="141"/>
      <c r="AI235" s="141"/>
      <c r="AJ235" s="141"/>
      <c r="AK235" s="141"/>
      <c r="AL235" s="141"/>
      <c r="AM235" s="141"/>
      <c r="AN235" s="141"/>
      <c r="AO235" s="141"/>
      <c r="AP235" s="141"/>
      <c r="AQ235" s="141"/>
      <c r="AR235" s="141"/>
      <c r="AS235" s="141"/>
      <c r="AT235" s="141"/>
      <c r="AU235" s="141"/>
      <c r="AV235" s="141"/>
      <c r="AW235" s="141"/>
      <c r="AX235" s="141"/>
      <c r="AY235" s="141"/>
      <c r="AZ235" s="141"/>
      <c r="BA235" s="141"/>
      <c r="BB235" s="141"/>
      <c r="BC235" s="141"/>
      <c r="BD235" s="141"/>
      <c r="BE235" s="141"/>
      <c r="BF235" s="141"/>
      <c r="BG235" s="141"/>
      <c r="BH235" s="141"/>
      <c r="BI235" s="141"/>
      <c r="BJ235" s="141"/>
      <c r="BK235" s="141"/>
      <c r="BL235" s="141"/>
      <c r="BM235" s="141"/>
    </row>
    <row r="236" spans="1:65" ht="16.5" customHeight="1" outlineLevel="2" x14ac:dyDescent="0.2">
      <c r="A236" s="133"/>
      <c r="B236" s="294"/>
      <c r="C236" s="295" t="str">
        <f>CONCATENATE("consommation électrique ",B231)</f>
        <v>consommation électrique Tertiaire</v>
      </c>
      <c r="D236" s="296"/>
      <c r="E236" s="297">
        <f>E231*VLOOKUP(E232,Données!$B$523:$G$526,3,FALSE())+E233*VLOOKUP(E234,Données!$B$528:$G$531,3,FALSE())*VLOOKUP(E235,Données!$B$532:$G$536,3,FALSE())</f>
        <v>0</v>
      </c>
      <c r="F236" s="297">
        <f>F231*VLOOKUP(F232,Données!$B$523:$G$526,5,FALSE())+F233*VLOOKUP(F234,Données!$B$528:$G$531,5,FALSE())*VLOOKUP(F235,Données!$B$532:$G$536,5,FALSE())</f>
        <v>0</v>
      </c>
      <c r="G236" s="291" t="s">
        <v>258</v>
      </c>
      <c r="H236" s="292">
        <f>E236*Données!$D537</f>
        <v>0</v>
      </c>
      <c r="I236" s="292">
        <f>F236*Données!$D537</f>
        <v>0</v>
      </c>
      <c r="J236" s="310"/>
      <c r="K236" s="176"/>
      <c r="L236" s="141"/>
      <c r="M236" s="141"/>
      <c r="N236" s="141"/>
      <c r="O236" s="141"/>
      <c r="P236" s="141"/>
      <c r="Q236" s="141"/>
      <c r="R236" s="141"/>
      <c r="S236" s="141"/>
      <c r="T236" s="141"/>
      <c r="U236" s="141"/>
      <c r="V236" s="141"/>
      <c r="W236" s="141"/>
      <c r="X236" s="141"/>
      <c r="Y236" s="141"/>
      <c r="Z236" s="141"/>
      <c r="AA236" s="141"/>
      <c r="AB236" s="141"/>
      <c r="AC236" s="141"/>
      <c r="AD236" s="141"/>
      <c r="AE236" s="141"/>
      <c r="AF236" s="141"/>
      <c r="AG236" s="141"/>
      <c r="AH236" s="141"/>
      <c r="AI236" s="141"/>
      <c r="AJ236" s="141"/>
      <c r="AK236" s="141"/>
      <c r="AL236" s="141"/>
      <c r="AM236" s="141"/>
      <c r="AN236" s="141"/>
      <c r="AO236" s="141"/>
      <c r="AP236" s="141"/>
      <c r="AQ236" s="141"/>
      <c r="AR236" s="141"/>
      <c r="AS236" s="141"/>
      <c r="AT236" s="141"/>
      <c r="AU236" s="141"/>
      <c r="AV236" s="141"/>
      <c r="AW236" s="141"/>
      <c r="AX236" s="141"/>
      <c r="AY236" s="141"/>
      <c r="AZ236" s="141"/>
      <c r="BA236" s="141"/>
      <c r="BB236" s="141"/>
      <c r="BC236" s="141"/>
      <c r="BD236" s="141"/>
      <c r="BE236" s="141"/>
      <c r="BF236" s="141"/>
      <c r="BG236" s="141"/>
      <c r="BH236" s="141"/>
      <c r="BI236" s="141"/>
      <c r="BJ236" s="141"/>
      <c r="BK236" s="141"/>
      <c r="BL236" s="141"/>
      <c r="BM236" s="141"/>
    </row>
    <row r="237" spans="1:65" ht="5.25" customHeight="1" outlineLevel="2" x14ac:dyDescent="0.2">
      <c r="A237" s="133"/>
      <c r="B237" s="311"/>
      <c r="C237" s="312"/>
      <c r="D237" s="313"/>
      <c r="E237" s="314"/>
      <c r="F237" s="314"/>
      <c r="G237" s="315"/>
      <c r="H237" s="314"/>
      <c r="I237" s="314"/>
      <c r="J237" s="286"/>
      <c r="K237" s="144"/>
      <c r="L237" s="141"/>
      <c r="M237" s="141"/>
      <c r="N237" s="141"/>
      <c r="O237" s="141"/>
      <c r="P237" s="141"/>
      <c r="Q237" s="141"/>
      <c r="R237" s="141"/>
      <c r="S237" s="141"/>
      <c r="T237" s="141"/>
      <c r="U237" s="141"/>
      <c r="V237" s="141"/>
      <c r="W237" s="141"/>
      <c r="X237" s="141"/>
      <c r="Y237" s="141"/>
      <c r="Z237" s="141"/>
      <c r="AA237" s="141"/>
      <c r="AB237" s="141"/>
      <c r="AC237" s="141"/>
      <c r="AD237" s="141"/>
      <c r="AE237" s="141"/>
      <c r="AF237" s="141"/>
      <c r="AG237" s="141"/>
      <c r="AH237" s="141"/>
      <c r="AI237" s="141"/>
      <c r="AJ237" s="141"/>
      <c r="AK237" s="141"/>
      <c r="AL237" s="141"/>
      <c r="AM237" s="141"/>
      <c r="AN237" s="141"/>
      <c r="AO237" s="141"/>
      <c r="AP237" s="141"/>
      <c r="AQ237" s="141"/>
      <c r="AR237" s="141"/>
      <c r="AS237" s="141"/>
      <c r="AT237" s="141"/>
      <c r="AU237" s="141"/>
      <c r="AV237" s="141"/>
      <c r="AW237" s="141"/>
      <c r="AX237" s="141"/>
      <c r="AY237" s="141"/>
      <c r="AZ237" s="141"/>
      <c r="BA237" s="141"/>
      <c r="BB237" s="141"/>
      <c r="BC237" s="141"/>
      <c r="BD237" s="141"/>
      <c r="BE237" s="141"/>
      <c r="BF237" s="141"/>
      <c r="BG237" s="141"/>
      <c r="BH237" s="141"/>
      <c r="BI237" s="141"/>
      <c r="BJ237" s="141"/>
      <c r="BK237" s="141"/>
      <c r="BL237" s="141"/>
      <c r="BM237" s="141"/>
    </row>
    <row r="238" spans="1:65" ht="16.5" customHeight="1" outlineLevel="2" x14ac:dyDescent="0.2">
      <c r="A238" s="133"/>
      <c r="B238" s="294"/>
      <c r="C238" s="299" t="s">
        <v>259</v>
      </c>
      <c r="D238" s="300"/>
      <c r="E238" s="301" t="e">
        <f>(E229+E236)/E$18</f>
        <v>#DIV/0!</v>
      </c>
      <c r="F238" s="301" t="e">
        <f>(F229+F236)/F$18</f>
        <v>#DIV/0!</v>
      </c>
      <c r="G238" s="302" t="s">
        <v>260</v>
      </c>
      <c r="H238" s="292"/>
      <c r="I238" s="292"/>
      <c r="J238" s="310"/>
      <c r="K238" s="176"/>
      <c r="L238" s="141"/>
      <c r="M238" s="141"/>
      <c r="N238" s="141"/>
      <c r="O238" s="141"/>
      <c r="P238" s="141"/>
      <c r="Q238" s="141"/>
      <c r="R238" s="141"/>
      <c r="S238" s="141"/>
      <c r="T238" s="141"/>
      <c r="U238" s="141"/>
      <c r="V238" s="141"/>
      <c r="W238" s="141"/>
      <c r="X238" s="141"/>
      <c r="Y238" s="141"/>
      <c r="Z238" s="141"/>
      <c r="AA238" s="141"/>
      <c r="AB238" s="141"/>
      <c r="AC238" s="141"/>
      <c r="AD238" s="141"/>
      <c r="AE238" s="141"/>
      <c r="AF238" s="141"/>
      <c r="AG238" s="141"/>
      <c r="AH238" s="141"/>
      <c r="AI238" s="141"/>
      <c r="AJ238" s="141"/>
      <c r="AK238" s="141"/>
      <c r="AL238" s="141"/>
      <c r="AM238" s="141"/>
      <c r="AN238" s="141"/>
      <c r="AO238" s="141"/>
      <c r="AP238" s="141"/>
      <c r="AQ238" s="141"/>
      <c r="AR238" s="141"/>
      <c r="AS238" s="141"/>
      <c r="AT238" s="141"/>
      <c r="AU238" s="141"/>
      <c r="AV238" s="141"/>
      <c r="AW238" s="141"/>
      <c r="AX238" s="141"/>
      <c r="AY238" s="141"/>
      <c r="AZ238" s="141"/>
      <c r="BA238" s="141"/>
      <c r="BB238" s="141"/>
      <c r="BC238" s="141"/>
      <c r="BD238" s="141"/>
      <c r="BE238" s="141"/>
      <c r="BF238" s="141"/>
      <c r="BG238" s="141"/>
      <c r="BH238" s="141"/>
      <c r="BI238" s="141"/>
      <c r="BJ238" s="141"/>
      <c r="BK238" s="141"/>
      <c r="BL238" s="141"/>
      <c r="BM238" s="141"/>
    </row>
    <row r="239" spans="1:65" ht="13.5" outlineLevel="1" x14ac:dyDescent="0.2">
      <c r="A239" s="133"/>
      <c r="B239" s="216"/>
      <c r="C239" s="171"/>
      <c r="D239" s="178"/>
      <c r="E239" s="179"/>
      <c r="F239" s="303"/>
      <c r="G239" s="304"/>
      <c r="H239" s="144"/>
      <c r="I239" s="144"/>
      <c r="J239" s="163"/>
      <c r="K239" s="144"/>
      <c r="L239" s="141"/>
      <c r="M239" s="141"/>
      <c r="N239" s="141"/>
      <c r="O239" s="141"/>
      <c r="P239" s="141"/>
      <c r="Q239" s="141"/>
      <c r="R239" s="141"/>
      <c r="S239" s="141"/>
      <c r="T239" s="141"/>
      <c r="U239" s="141"/>
      <c r="V239" s="141"/>
      <c r="W239" s="141"/>
      <c r="X239" s="141"/>
      <c r="Y239" s="141"/>
      <c r="Z239" s="141"/>
      <c r="AA239" s="141"/>
      <c r="AB239" s="141"/>
      <c r="AC239" s="141"/>
      <c r="AD239" s="141"/>
      <c r="AE239" s="141"/>
      <c r="AF239" s="141"/>
      <c r="AG239" s="141"/>
      <c r="AH239" s="141"/>
      <c r="AI239" s="141"/>
      <c r="AJ239" s="141"/>
      <c r="AK239" s="141"/>
      <c r="AL239" s="141"/>
      <c r="AM239" s="141"/>
      <c r="AN239" s="141"/>
      <c r="AO239" s="141"/>
      <c r="AP239" s="141"/>
      <c r="AQ239" s="141"/>
      <c r="AR239" s="141"/>
      <c r="AS239" s="141"/>
      <c r="AT239" s="141"/>
      <c r="AU239" s="141"/>
      <c r="AV239" s="141"/>
      <c r="AW239" s="141"/>
      <c r="AX239" s="141"/>
      <c r="AY239" s="141"/>
      <c r="AZ239" s="141"/>
      <c r="BA239" s="141"/>
      <c r="BB239" s="141"/>
      <c r="BC239" s="141"/>
      <c r="BD239" s="141"/>
      <c r="BE239" s="141"/>
      <c r="BF239" s="141"/>
      <c r="BG239" s="141"/>
      <c r="BH239" s="141"/>
      <c r="BI239" s="141"/>
      <c r="BJ239" s="141"/>
      <c r="BK239" s="141"/>
      <c r="BL239" s="141"/>
      <c r="BM239" s="141"/>
    </row>
    <row r="240" spans="1:65" ht="16.5" customHeight="1" outlineLevel="1" x14ac:dyDescent="0.2">
      <c r="A240" s="133"/>
      <c r="B240" s="272" t="s">
        <v>286</v>
      </c>
      <c r="C240" s="273"/>
      <c r="D240" s="274" t="s">
        <v>287</v>
      </c>
      <c r="E240" s="277"/>
      <c r="F240" s="277"/>
      <c r="G240" s="305"/>
      <c r="H240" s="277"/>
      <c r="I240" s="277"/>
      <c r="J240" s="278"/>
      <c r="K240" s="279"/>
      <c r="L240" s="141"/>
      <c r="M240" s="141"/>
      <c r="N240" s="141"/>
      <c r="O240" s="141"/>
      <c r="P240" s="141"/>
      <c r="Q240" s="141"/>
      <c r="R240" s="141"/>
      <c r="S240" s="141"/>
      <c r="T240" s="141"/>
      <c r="U240" s="141"/>
      <c r="V240" s="141"/>
      <c r="W240" s="141"/>
      <c r="X240" s="141"/>
      <c r="Y240" s="141"/>
      <c r="Z240" s="141"/>
      <c r="AA240" s="141"/>
      <c r="AB240" s="141"/>
      <c r="AC240" s="141"/>
      <c r="AD240" s="141"/>
      <c r="AE240" s="141"/>
      <c r="AF240" s="141"/>
      <c r="AG240" s="141"/>
      <c r="AH240" s="141"/>
      <c r="AI240" s="141"/>
      <c r="AJ240" s="141"/>
      <c r="AK240" s="141"/>
      <c r="AL240" s="141"/>
      <c r="AM240" s="141"/>
      <c r="AN240" s="141"/>
      <c r="AO240" s="141"/>
      <c r="AP240" s="141"/>
      <c r="AQ240" s="141"/>
      <c r="AR240" s="141"/>
      <c r="AS240" s="141"/>
      <c r="AT240" s="141"/>
      <c r="AU240" s="141"/>
      <c r="AV240" s="141"/>
      <c r="AW240" s="141"/>
      <c r="AX240" s="141"/>
      <c r="AY240" s="141"/>
      <c r="AZ240" s="141"/>
      <c r="BA240" s="141"/>
      <c r="BB240" s="141"/>
      <c r="BC240" s="141"/>
      <c r="BD240" s="141"/>
      <c r="BE240" s="141"/>
      <c r="BF240" s="141"/>
      <c r="BG240" s="141"/>
      <c r="BH240" s="141"/>
      <c r="BI240" s="141"/>
      <c r="BJ240" s="141"/>
      <c r="BK240" s="141"/>
      <c r="BL240" s="141"/>
      <c r="BM240" s="141"/>
    </row>
    <row r="241" spans="1:65" ht="16.5" customHeight="1" outlineLevel="2" x14ac:dyDescent="0.2">
      <c r="A241" s="133"/>
      <c r="B241" s="280" t="s">
        <v>288</v>
      </c>
      <c r="C241" s="307" t="s">
        <v>289</v>
      </c>
      <c r="D241" s="308"/>
      <c r="E241" s="708" t="s">
        <v>139</v>
      </c>
      <c r="F241" s="708"/>
      <c r="G241" s="309" t="s">
        <v>143</v>
      </c>
      <c r="H241" s="285"/>
      <c r="I241" s="285"/>
      <c r="J241" s="310"/>
      <c r="K241" s="203"/>
      <c r="L241" s="141"/>
      <c r="M241" s="141"/>
      <c r="N241" s="141"/>
      <c r="O241" s="141"/>
      <c r="P241" s="141"/>
      <c r="Q241" s="141"/>
      <c r="R241" s="141"/>
      <c r="S241" s="141"/>
      <c r="T241" s="141"/>
      <c r="U241" s="141"/>
      <c r="V241" s="141"/>
      <c r="W241" s="141"/>
      <c r="X241" s="141"/>
      <c r="Y241" s="141"/>
      <c r="Z241" s="141"/>
      <c r="AA241" s="141"/>
      <c r="AB241" s="141"/>
      <c r="AC241" s="141"/>
      <c r="AD241" s="141"/>
      <c r="AE241" s="141"/>
      <c r="AF241" s="141"/>
      <c r="AG241" s="141"/>
      <c r="AH241" s="141"/>
      <c r="AI241" s="141"/>
      <c r="AJ241" s="141"/>
      <c r="AK241" s="141"/>
      <c r="AL241" s="141"/>
      <c r="AM241" s="141"/>
      <c r="AN241" s="141"/>
      <c r="AO241" s="141"/>
      <c r="AP241" s="141"/>
      <c r="AQ241" s="141"/>
      <c r="AR241" s="141"/>
      <c r="AS241" s="141"/>
      <c r="AT241" s="141"/>
      <c r="AU241" s="141"/>
      <c r="AV241" s="141"/>
      <c r="AW241" s="141"/>
      <c r="AX241" s="141"/>
      <c r="AY241" s="141"/>
      <c r="AZ241" s="141"/>
      <c r="BA241" s="141"/>
      <c r="BB241" s="141"/>
      <c r="BC241" s="141"/>
      <c r="BD241" s="141"/>
      <c r="BE241" s="141"/>
      <c r="BF241" s="141"/>
      <c r="BG241" s="141"/>
      <c r="BH241" s="141"/>
      <c r="BI241" s="141"/>
      <c r="BJ241" s="141"/>
      <c r="BK241" s="141"/>
      <c r="BL241" s="141"/>
      <c r="BM241" s="141"/>
    </row>
    <row r="242" spans="1:65" ht="16.5" customHeight="1" outlineLevel="2" x14ac:dyDescent="0.2">
      <c r="A242" s="133"/>
      <c r="B242" s="306"/>
      <c r="C242" s="299" t="s">
        <v>290</v>
      </c>
      <c r="D242" s="300"/>
      <c r="E242" s="709" t="s">
        <v>139</v>
      </c>
      <c r="F242" s="709"/>
      <c r="G242" s="302" t="s">
        <v>143</v>
      </c>
      <c r="H242" s="292"/>
      <c r="I242" s="292"/>
      <c r="J242" s="310"/>
      <c r="K242" s="176"/>
      <c r="L242" s="141"/>
      <c r="M242" s="141"/>
      <c r="N242" s="141"/>
      <c r="O242" s="141"/>
      <c r="P242" s="141"/>
      <c r="Q242" s="141"/>
      <c r="R242" s="141"/>
      <c r="S242" s="141"/>
      <c r="T242" s="141"/>
      <c r="U242" s="141"/>
      <c r="V242" s="141"/>
      <c r="W242" s="141"/>
      <c r="X242" s="141"/>
      <c r="Y242" s="141"/>
      <c r="Z242" s="141"/>
      <c r="AA242" s="141"/>
      <c r="AB242" s="141"/>
      <c r="AC242" s="141"/>
      <c r="AD242" s="141"/>
      <c r="AE242" s="141"/>
      <c r="AF242" s="141"/>
      <c r="AG242" s="141"/>
      <c r="AH242" s="141"/>
      <c r="AI242" s="141"/>
      <c r="AJ242" s="141"/>
      <c r="AK242" s="141"/>
      <c r="AL242" s="141"/>
      <c r="AM242" s="141"/>
      <c r="AN242" s="141"/>
      <c r="AO242" s="141"/>
      <c r="AP242" s="141"/>
      <c r="AQ242" s="141"/>
      <c r="AR242" s="141"/>
      <c r="AS242" s="141"/>
      <c r="AT242" s="141"/>
      <c r="AU242" s="141"/>
      <c r="AV242" s="141"/>
      <c r="AW242" s="141"/>
      <c r="AX242" s="141"/>
      <c r="AY242" s="141"/>
      <c r="AZ242" s="141"/>
      <c r="BA242" s="141"/>
      <c r="BB242" s="141"/>
      <c r="BC242" s="141"/>
      <c r="BD242" s="141"/>
      <c r="BE242" s="141"/>
      <c r="BF242" s="141"/>
      <c r="BG242" s="141"/>
      <c r="BH242" s="141"/>
      <c r="BI242" s="141"/>
      <c r="BJ242" s="141"/>
      <c r="BK242" s="141"/>
      <c r="BL242" s="141"/>
      <c r="BM242" s="141"/>
    </row>
    <row r="243" spans="1:65" ht="16.5" customHeight="1" outlineLevel="2" x14ac:dyDescent="0.2">
      <c r="A243" s="133"/>
      <c r="B243" s="280" t="s">
        <v>291</v>
      </c>
      <c r="C243" s="299" t="s">
        <v>289</v>
      </c>
      <c r="D243" s="300"/>
      <c r="E243" s="709" t="s">
        <v>139</v>
      </c>
      <c r="F243" s="709"/>
      <c r="G243" s="302" t="s">
        <v>143</v>
      </c>
      <c r="H243" s="292"/>
      <c r="I243" s="292"/>
      <c r="J243" s="310"/>
      <c r="K243" s="176"/>
      <c r="L243" s="141"/>
      <c r="M243" s="141"/>
      <c r="N243" s="141"/>
      <c r="O243" s="141"/>
      <c r="P243" s="141"/>
      <c r="Q243" s="141"/>
      <c r="R243" s="141"/>
      <c r="S243" s="141"/>
      <c r="T243" s="141"/>
      <c r="U243" s="141"/>
      <c r="V243" s="141"/>
      <c r="W243" s="141"/>
      <c r="X243" s="141"/>
      <c r="Y243" s="141"/>
      <c r="Z243" s="141"/>
      <c r="AA243" s="141"/>
      <c r="AB243" s="141"/>
      <c r="AC243" s="141"/>
      <c r="AD243" s="141"/>
      <c r="AE243" s="141"/>
      <c r="AF243" s="141"/>
      <c r="AG243" s="141"/>
      <c r="AH243" s="141"/>
      <c r="AI243" s="141"/>
      <c r="AJ243" s="141"/>
      <c r="AK243" s="141"/>
      <c r="AL243" s="141"/>
      <c r="AM243" s="141"/>
      <c r="AN243" s="141"/>
      <c r="AO243" s="141"/>
      <c r="AP243" s="141"/>
      <c r="AQ243" s="141"/>
      <c r="AR243" s="141"/>
      <c r="AS243" s="141"/>
      <c r="AT243" s="141"/>
      <c r="AU243" s="141"/>
      <c r="AV243" s="141"/>
      <c r="AW243" s="141"/>
      <c r="AX243" s="141"/>
      <c r="AY243" s="141"/>
      <c r="AZ243" s="141"/>
      <c r="BA243" s="141"/>
      <c r="BB243" s="141"/>
      <c r="BC243" s="141"/>
      <c r="BD243" s="141"/>
      <c r="BE243" s="141"/>
      <c r="BF243" s="141"/>
      <c r="BG243" s="141"/>
      <c r="BH243" s="141"/>
      <c r="BI243" s="141"/>
      <c r="BJ243" s="141"/>
      <c r="BK243" s="141"/>
      <c r="BL243" s="141"/>
      <c r="BM243" s="141"/>
    </row>
    <row r="244" spans="1:65" ht="16.5" customHeight="1" outlineLevel="2" x14ac:dyDescent="0.2">
      <c r="A244" s="133"/>
      <c r="B244" s="280"/>
      <c r="C244" s="299" t="s">
        <v>290</v>
      </c>
      <c r="D244" s="300"/>
      <c r="E244" s="709" t="s">
        <v>139</v>
      </c>
      <c r="F244" s="709"/>
      <c r="G244" s="302" t="s">
        <v>143</v>
      </c>
      <c r="H244" s="292"/>
      <c r="I244" s="292"/>
      <c r="J244" s="310"/>
      <c r="K244" s="176"/>
      <c r="L244" s="141"/>
      <c r="M244" s="141"/>
      <c r="N244" s="141"/>
      <c r="O244" s="141"/>
      <c r="P244" s="141"/>
      <c r="Q244" s="141"/>
      <c r="R244" s="141"/>
      <c r="S244" s="141"/>
      <c r="T244" s="141"/>
      <c r="U244" s="141"/>
      <c r="V244" s="141"/>
      <c r="W244" s="141"/>
      <c r="X244" s="141"/>
      <c r="Y244" s="141"/>
      <c r="Z244" s="141"/>
      <c r="AA244" s="141"/>
      <c r="AB244" s="141"/>
      <c r="AC244" s="141"/>
      <c r="AD244" s="141"/>
      <c r="AE244" s="141"/>
      <c r="AF244" s="141"/>
      <c r="AG244" s="141"/>
      <c r="AH244" s="141"/>
      <c r="AI244" s="141"/>
      <c r="AJ244" s="141"/>
      <c r="AK244" s="141"/>
      <c r="AL244" s="141"/>
      <c r="AM244" s="141"/>
      <c r="AN244" s="141"/>
      <c r="AO244" s="141"/>
      <c r="AP244" s="141"/>
      <c r="AQ244" s="141"/>
      <c r="AR244" s="141"/>
      <c r="AS244" s="141"/>
      <c r="AT244" s="141"/>
      <c r="AU244" s="141"/>
      <c r="AV244" s="141"/>
      <c r="AW244" s="141"/>
      <c r="AX244" s="141"/>
      <c r="AY244" s="141"/>
      <c r="AZ244" s="141"/>
      <c r="BA244" s="141"/>
      <c r="BB244" s="141"/>
      <c r="BC244" s="141"/>
      <c r="BD244" s="141"/>
      <c r="BE244" s="141"/>
      <c r="BF244" s="141"/>
      <c r="BG244" s="141"/>
      <c r="BH244" s="141"/>
      <c r="BI244" s="141"/>
      <c r="BJ244" s="141"/>
      <c r="BK244" s="141"/>
      <c r="BL244" s="141"/>
      <c r="BM244" s="141"/>
    </row>
    <row r="245" spans="1:65" ht="16.5" customHeight="1" outlineLevel="2" x14ac:dyDescent="0.2">
      <c r="A245" s="133"/>
      <c r="B245" s="294"/>
      <c r="C245" s="295" t="s">
        <v>257</v>
      </c>
      <c r="D245" s="296"/>
      <c r="E245" s="710">
        <f>E21*VLOOKUP(E241,Données!$B$540:$G$544,3,FALSE())*VLOOKUP(E242,Données!$B$545:$G$548,3,FALSE())+E22*VLOOKUP(E243,Données!$B$550:$G$554,3,FALSE())*VLOOKUP(E244,Données!$B$555:$G$558,3,FALSE())</f>
        <v>0</v>
      </c>
      <c r="F245" s="710"/>
      <c r="G245" s="321" t="s">
        <v>258</v>
      </c>
      <c r="H245" s="292" t="e">
        <f>$E245*Données!$D559*E$18/($E$18+$F$18)</f>
        <v>#DIV/0!</v>
      </c>
      <c r="I245" s="292" t="e">
        <f>$E245*Données!$D559*F$18/($E$18+$F$18)</f>
        <v>#DIV/0!</v>
      </c>
      <c r="J245" s="310"/>
      <c r="K245" s="176"/>
      <c r="L245" s="141"/>
      <c r="M245" s="141"/>
      <c r="N245" s="141"/>
      <c r="O245" s="141"/>
      <c r="P245" s="141"/>
      <c r="Q245" s="141"/>
      <c r="R245" s="141"/>
      <c r="S245" s="141"/>
      <c r="T245" s="141"/>
      <c r="U245" s="141"/>
      <c r="V245" s="141"/>
      <c r="W245" s="141"/>
      <c r="X245" s="141"/>
      <c r="Y245" s="141"/>
      <c r="Z245" s="141"/>
      <c r="AA245" s="141"/>
      <c r="AB245" s="141"/>
      <c r="AC245" s="141"/>
      <c r="AD245" s="141"/>
      <c r="AE245" s="141"/>
      <c r="AF245" s="141"/>
      <c r="AG245" s="141"/>
      <c r="AH245" s="141"/>
      <c r="AI245" s="141"/>
      <c r="AJ245" s="141"/>
      <c r="AK245" s="141"/>
      <c r="AL245" s="141"/>
      <c r="AM245" s="141"/>
      <c r="AN245" s="141"/>
      <c r="AO245" s="141"/>
      <c r="AP245" s="141"/>
      <c r="AQ245" s="141"/>
      <c r="AR245" s="141"/>
      <c r="AS245" s="141"/>
      <c r="AT245" s="141"/>
      <c r="AU245" s="141"/>
      <c r="AV245" s="141"/>
      <c r="AW245" s="141"/>
      <c r="AX245" s="141"/>
      <c r="AY245" s="141"/>
      <c r="AZ245" s="141"/>
      <c r="BA245" s="141"/>
      <c r="BB245" s="141"/>
      <c r="BC245" s="141"/>
      <c r="BD245" s="141"/>
      <c r="BE245" s="141"/>
      <c r="BF245" s="141"/>
      <c r="BG245" s="141"/>
      <c r="BH245" s="141"/>
      <c r="BI245" s="141"/>
      <c r="BJ245" s="141"/>
      <c r="BK245" s="141"/>
      <c r="BL245" s="141"/>
      <c r="BM245" s="141"/>
    </row>
    <row r="246" spans="1:65" ht="16.5" customHeight="1" outlineLevel="2" x14ac:dyDescent="0.2">
      <c r="A246" s="133"/>
      <c r="B246" s="306"/>
      <c r="C246" s="299" t="s">
        <v>259</v>
      </c>
      <c r="D246" s="300"/>
      <c r="E246" s="711" t="e">
        <f>E245/E$18</f>
        <v>#DIV/0!</v>
      </c>
      <c r="F246" s="711"/>
      <c r="G246" s="302" t="s">
        <v>260</v>
      </c>
      <c r="H246" s="292"/>
      <c r="I246" s="292"/>
      <c r="J246" s="310"/>
      <c r="K246" s="176"/>
      <c r="L246" s="141"/>
      <c r="M246" s="141"/>
      <c r="N246" s="141"/>
      <c r="O246" s="141"/>
      <c r="P246" s="141"/>
      <c r="Q246" s="141"/>
      <c r="R246" s="141"/>
      <c r="S246" s="141"/>
      <c r="T246" s="141"/>
      <c r="U246" s="141"/>
      <c r="V246" s="141"/>
      <c r="W246" s="141"/>
      <c r="X246" s="141"/>
      <c r="Y246" s="141"/>
      <c r="Z246" s="141"/>
      <c r="AA246" s="141"/>
      <c r="AB246" s="141"/>
      <c r="AC246" s="141"/>
      <c r="AD246" s="141"/>
      <c r="AE246" s="141"/>
      <c r="AF246" s="141"/>
      <c r="AG246" s="141"/>
      <c r="AH246" s="141"/>
      <c r="AI246" s="141"/>
      <c r="AJ246" s="141"/>
      <c r="AK246" s="141"/>
      <c r="AL246" s="141"/>
      <c r="AM246" s="141"/>
      <c r="AN246" s="141"/>
      <c r="AO246" s="141"/>
      <c r="AP246" s="141"/>
      <c r="AQ246" s="141"/>
      <c r="AR246" s="141"/>
      <c r="AS246" s="141"/>
      <c r="AT246" s="141"/>
      <c r="AU246" s="141"/>
      <c r="AV246" s="141"/>
      <c r="AW246" s="141"/>
      <c r="AX246" s="141"/>
      <c r="AY246" s="141"/>
      <c r="AZ246" s="141"/>
      <c r="BA246" s="141"/>
      <c r="BB246" s="141"/>
      <c r="BC246" s="141"/>
      <c r="BD246" s="141"/>
      <c r="BE246" s="141"/>
      <c r="BF246" s="141"/>
      <c r="BG246" s="141"/>
      <c r="BH246" s="141"/>
      <c r="BI246" s="141"/>
      <c r="BJ246" s="141"/>
      <c r="BK246" s="141"/>
      <c r="BL246" s="141"/>
      <c r="BM246" s="141"/>
    </row>
    <row r="247" spans="1:65" ht="13.5" outlineLevel="1" x14ac:dyDescent="0.2">
      <c r="A247" s="133"/>
      <c r="B247" s="216"/>
      <c r="C247" s="171"/>
      <c r="D247" s="178"/>
      <c r="E247" s="179"/>
      <c r="F247" s="303"/>
      <c r="G247" s="304"/>
      <c r="H247" s="144"/>
      <c r="I247" s="144"/>
      <c r="J247" s="163"/>
      <c r="K247" s="144"/>
      <c r="L247" s="141"/>
      <c r="M247" s="141"/>
      <c r="N247" s="141"/>
      <c r="O247" s="141"/>
      <c r="P247" s="141"/>
      <c r="Q247" s="141"/>
      <c r="R247" s="141"/>
      <c r="S247" s="141"/>
      <c r="T247" s="141"/>
      <c r="U247" s="141"/>
      <c r="V247" s="141"/>
      <c r="W247" s="141"/>
      <c r="X247" s="141"/>
      <c r="Y247" s="141"/>
      <c r="Z247" s="141"/>
      <c r="AA247" s="141"/>
      <c r="AB247" s="141"/>
      <c r="AC247" s="141"/>
      <c r="AD247" s="141"/>
      <c r="AE247" s="141"/>
      <c r="AF247" s="141"/>
      <c r="AG247" s="141"/>
      <c r="AH247" s="141"/>
      <c r="AI247" s="141"/>
      <c r="AJ247" s="141"/>
      <c r="AK247" s="141"/>
      <c r="AL247" s="141"/>
      <c r="AM247" s="141"/>
      <c r="AN247" s="141"/>
      <c r="AO247" s="141"/>
      <c r="AP247" s="141"/>
      <c r="AQ247" s="141"/>
      <c r="AR247" s="141"/>
      <c r="AS247" s="141"/>
      <c r="AT247" s="141"/>
      <c r="AU247" s="141"/>
      <c r="AV247" s="141"/>
      <c r="AW247" s="141"/>
      <c r="AX247" s="141"/>
      <c r="AY247" s="141"/>
      <c r="AZ247" s="141"/>
      <c r="BA247" s="141"/>
      <c r="BB247" s="141"/>
      <c r="BC247" s="141"/>
      <c r="BD247" s="141"/>
      <c r="BE247" s="141"/>
      <c r="BF247" s="141"/>
      <c r="BG247" s="141"/>
      <c r="BH247" s="141"/>
      <c r="BI247" s="141"/>
      <c r="BJ247" s="141"/>
      <c r="BK247" s="141"/>
      <c r="BL247" s="141"/>
      <c r="BM247" s="141"/>
    </row>
    <row r="248" spans="1:65" ht="16.5" customHeight="1" outlineLevel="1" x14ac:dyDescent="0.2">
      <c r="A248" s="133"/>
      <c r="B248" s="272" t="s">
        <v>292</v>
      </c>
      <c r="C248" s="273"/>
      <c r="D248" s="274" t="s">
        <v>293</v>
      </c>
      <c r="E248" s="277"/>
      <c r="F248" s="277"/>
      <c r="G248" s="305"/>
      <c r="H248" s="277"/>
      <c r="I248" s="277"/>
      <c r="J248" s="278"/>
      <c r="K248" s="279"/>
      <c r="L248" s="141"/>
      <c r="M248" s="141"/>
      <c r="N248" s="141"/>
      <c r="O248" s="141"/>
      <c r="P248" s="141"/>
      <c r="Q248" s="141"/>
      <c r="R248" s="141"/>
      <c r="S248" s="141"/>
      <c r="T248" s="141"/>
      <c r="U248" s="141"/>
      <c r="V248" s="141"/>
      <c r="W248" s="141"/>
      <c r="X248" s="141"/>
      <c r="Y248" s="141"/>
      <c r="Z248" s="141"/>
      <c r="AA248" s="141"/>
      <c r="AB248" s="141"/>
      <c r="AC248" s="141"/>
      <c r="AD248" s="141"/>
      <c r="AE248" s="141"/>
      <c r="AF248" s="141"/>
      <c r="AG248" s="141"/>
      <c r="AH248" s="141"/>
      <c r="AI248" s="141"/>
      <c r="AJ248" s="141"/>
      <c r="AK248" s="141"/>
      <c r="AL248" s="141"/>
      <c r="AM248" s="141"/>
      <c r="AN248" s="141"/>
      <c r="AO248" s="141"/>
      <c r="AP248" s="141"/>
      <c r="AQ248" s="141"/>
      <c r="AR248" s="141"/>
      <c r="AS248" s="141"/>
      <c r="AT248" s="141"/>
      <c r="AU248" s="141"/>
      <c r="AV248" s="141"/>
      <c r="AW248" s="141"/>
      <c r="AX248" s="141"/>
      <c r="AY248" s="141"/>
      <c r="AZ248" s="141"/>
      <c r="BA248" s="141"/>
      <c r="BB248" s="141"/>
      <c r="BC248" s="141"/>
      <c r="BD248" s="141"/>
      <c r="BE248" s="141"/>
      <c r="BF248" s="141"/>
      <c r="BG248" s="141"/>
      <c r="BH248" s="141"/>
      <c r="BI248" s="141"/>
      <c r="BJ248" s="141"/>
      <c r="BK248" s="141"/>
      <c r="BL248" s="141"/>
      <c r="BM248" s="141"/>
    </row>
    <row r="249" spans="1:65" ht="16.5" customHeight="1" outlineLevel="2" x14ac:dyDescent="0.2">
      <c r="A249" s="133"/>
      <c r="B249" s="280" t="s">
        <v>12</v>
      </c>
      <c r="C249" s="307" t="s">
        <v>294</v>
      </c>
      <c r="D249" s="308"/>
      <c r="E249" s="283">
        <v>0</v>
      </c>
      <c r="F249" s="283">
        <v>0</v>
      </c>
      <c r="G249" s="284" t="s">
        <v>251</v>
      </c>
      <c r="H249" s="285"/>
      <c r="I249" s="285"/>
      <c r="J249" s="316"/>
      <c r="K249" s="203"/>
      <c r="L249" s="141"/>
      <c r="M249" s="141"/>
      <c r="N249" s="141"/>
      <c r="O249" s="141"/>
      <c r="P249" s="141"/>
      <c r="Q249" s="141"/>
      <c r="R249" s="141"/>
      <c r="S249" s="141"/>
      <c r="T249" s="141"/>
      <c r="U249" s="141"/>
      <c r="V249" s="141"/>
      <c r="W249" s="141"/>
      <c r="X249" s="141"/>
      <c r="Y249" s="141"/>
      <c r="Z249" s="141"/>
      <c r="AA249" s="141"/>
      <c r="AB249" s="141"/>
      <c r="AC249" s="141"/>
      <c r="AD249" s="141"/>
      <c r="AE249" s="141"/>
      <c r="AF249" s="141"/>
      <c r="AG249" s="141"/>
      <c r="AH249" s="141"/>
      <c r="AI249" s="141"/>
      <c r="AJ249" s="141"/>
      <c r="AK249" s="141"/>
      <c r="AL249" s="141"/>
      <c r="AM249" s="141"/>
      <c r="AN249" s="141"/>
      <c r="AO249" s="141"/>
      <c r="AP249" s="141"/>
      <c r="AQ249" s="141"/>
      <c r="AR249" s="141"/>
      <c r="AS249" s="141"/>
      <c r="AT249" s="141"/>
      <c r="AU249" s="141"/>
      <c r="AV249" s="141"/>
      <c r="AW249" s="141"/>
      <c r="AX249" s="141"/>
      <c r="AY249" s="141"/>
      <c r="AZ249" s="141"/>
      <c r="BA249" s="141"/>
      <c r="BB249" s="141"/>
      <c r="BC249" s="141"/>
      <c r="BD249" s="141"/>
      <c r="BE249" s="141"/>
      <c r="BF249" s="141"/>
      <c r="BG249" s="141"/>
      <c r="BH249" s="141"/>
      <c r="BI249" s="141"/>
      <c r="BJ249" s="141"/>
      <c r="BK249" s="141"/>
      <c r="BL249" s="141"/>
      <c r="BM249" s="141"/>
    </row>
    <row r="250" spans="1:65" ht="16.5" customHeight="1" outlineLevel="2" x14ac:dyDescent="0.2">
      <c r="A250" s="133"/>
      <c r="B250" s="280"/>
      <c r="C250" s="299" t="s">
        <v>295</v>
      </c>
      <c r="D250" s="300"/>
      <c r="E250" s="290">
        <v>0</v>
      </c>
      <c r="F250" s="290">
        <v>0</v>
      </c>
      <c r="G250" s="291" t="s">
        <v>296</v>
      </c>
      <c r="H250" s="292"/>
      <c r="I250" s="292"/>
      <c r="J250" s="316"/>
      <c r="K250" s="176"/>
      <c r="L250" s="141"/>
      <c r="M250" s="141"/>
      <c r="N250" s="141"/>
      <c r="O250" s="141"/>
      <c r="P250" s="141"/>
      <c r="Q250" s="141"/>
      <c r="R250" s="141"/>
      <c r="S250" s="141"/>
      <c r="T250" s="141"/>
      <c r="U250" s="141"/>
      <c r="V250" s="141"/>
      <c r="W250" s="141"/>
      <c r="X250" s="141"/>
      <c r="Y250" s="141"/>
      <c r="Z250" s="141"/>
      <c r="AA250" s="141"/>
      <c r="AB250" s="141"/>
      <c r="AC250" s="141"/>
      <c r="AD250" s="141"/>
      <c r="AE250" s="141"/>
      <c r="AF250" s="141"/>
      <c r="AG250" s="141"/>
      <c r="AH250" s="141"/>
      <c r="AI250" s="141"/>
      <c r="AJ250" s="141"/>
      <c r="AK250" s="141"/>
      <c r="AL250" s="141"/>
      <c r="AM250" s="141"/>
      <c r="AN250" s="141"/>
      <c r="AO250" s="141"/>
      <c r="AP250" s="141"/>
      <c r="AQ250" s="141"/>
      <c r="AR250" s="141"/>
      <c r="AS250" s="141"/>
      <c r="AT250" s="141"/>
      <c r="AU250" s="141"/>
      <c r="AV250" s="141"/>
      <c r="AW250" s="141"/>
      <c r="AX250" s="141"/>
      <c r="AY250" s="141"/>
      <c r="AZ250" s="141"/>
      <c r="BA250" s="141"/>
      <c r="BB250" s="141"/>
      <c r="BC250" s="141"/>
      <c r="BD250" s="141"/>
      <c r="BE250" s="141"/>
      <c r="BF250" s="141"/>
      <c r="BG250" s="141"/>
      <c r="BH250" s="141"/>
      <c r="BI250" s="141"/>
      <c r="BJ250" s="141"/>
      <c r="BK250" s="141"/>
      <c r="BL250" s="141"/>
      <c r="BM250" s="141"/>
    </row>
    <row r="251" spans="1:65" ht="16.5" customHeight="1" outlineLevel="2" x14ac:dyDescent="0.2">
      <c r="A251" s="133"/>
      <c r="B251" s="320" t="str">
        <f>IF(PROJET!$E$9=0,"Tertiaire",$C$17)</f>
        <v>Tertiaire</v>
      </c>
      <c r="C251" s="299" t="s">
        <v>297</v>
      </c>
      <c r="D251" s="300"/>
      <c r="E251" s="290">
        <v>0</v>
      </c>
      <c r="F251" s="290">
        <v>0</v>
      </c>
      <c r="G251" s="291" t="s">
        <v>298</v>
      </c>
      <c r="H251" s="292"/>
      <c r="I251" s="292"/>
      <c r="J251" s="310"/>
      <c r="K251" s="176"/>
      <c r="L251" s="141"/>
      <c r="M251" s="141"/>
      <c r="N251" s="141"/>
      <c r="O251" s="141"/>
      <c r="P251" s="141"/>
      <c r="Q251" s="141"/>
      <c r="R251" s="141"/>
      <c r="S251" s="141"/>
      <c r="T251" s="141"/>
      <c r="U251" s="141"/>
      <c r="V251" s="141"/>
      <c r="W251" s="141"/>
      <c r="X251" s="141"/>
      <c r="Y251" s="141"/>
      <c r="Z251" s="141"/>
      <c r="AA251" s="141"/>
      <c r="AB251" s="141"/>
      <c r="AC251" s="141"/>
      <c r="AD251" s="141"/>
      <c r="AE251" s="141"/>
      <c r="AF251" s="141"/>
      <c r="AG251" s="141"/>
      <c r="AH251" s="141"/>
      <c r="AI251" s="141"/>
      <c r="AJ251" s="141"/>
      <c r="AK251" s="141"/>
      <c r="AL251" s="141"/>
      <c r="AM251" s="141"/>
      <c r="AN251" s="141"/>
      <c r="AO251" s="141"/>
      <c r="AP251" s="141"/>
      <c r="AQ251" s="141"/>
      <c r="AR251" s="141"/>
      <c r="AS251" s="141"/>
      <c r="AT251" s="141"/>
      <c r="AU251" s="141"/>
      <c r="AV251" s="141"/>
      <c r="AW251" s="141"/>
      <c r="AX251" s="141"/>
      <c r="AY251" s="141"/>
      <c r="AZ251" s="141"/>
      <c r="BA251" s="141"/>
      <c r="BB251" s="141"/>
      <c r="BC251" s="141"/>
      <c r="BD251" s="141"/>
      <c r="BE251" s="141"/>
      <c r="BF251" s="141"/>
      <c r="BG251" s="141"/>
      <c r="BH251" s="141"/>
      <c r="BI251" s="141"/>
      <c r="BJ251" s="141"/>
      <c r="BK251" s="141"/>
      <c r="BL251" s="141"/>
      <c r="BM251" s="141"/>
    </row>
    <row r="252" spans="1:65" ht="16.5" customHeight="1" outlineLevel="2" x14ac:dyDescent="0.2">
      <c r="A252" s="133"/>
      <c r="B252" s="322"/>
      <c r="C252" s="299" t="s">
        <v>299</v>
      </c>
      <c r="D252" s="300"/>
      <c r="E252" s="290" t="s">
        <v>139</v>
      </c>
      <c r="F252" s="290" t="s">
        <v>139</v>
      </c>
      <c r="G252" s="302" t="s">
        <v>143</v>
      </c>
      <c r="H252" s="292"/>
      <c r="I252" s="292"/>
      <c r="J252" s="310"/>
      <c r="K252" s="176"/>
      <c r="L252" s="141"/>
      <c r="M252" s="141"/>
      <c r="N252" s="141"/>
      <c r="O252" s="141"/>
      <c r="P252" s="141"/>
      <c r="Q252" s="141"/>
      <c r="R252" s="141"/>
      <c r="S252" s="141"/>
      <c r="T252" s="141"/>
      <c r="U252" s="141"/>
      <c r="V252" s="141"/>
      <c r="W252" s="141"/>
      <c r="X252" s="141"/>
      <c r="Y252" s="141"/>
      <c r="Z252" s="141"/>
      <c r="AA252" s="141"/>
      <c r="AB252" s="141"/>
      <c r="AC252" s="141"/>
      <c r="AD252" s="141"/>
      <c r="AE252" s="141"/>
      <c r="AF252" s="141"/>
      <c r="AG252" s="141"/>
      <c r="AH252" s="141"/>
      <c r="AI252" s="141"/>
      <c r="AJ252" s="141"/>
      <c r="AK252" s="141"/>
      <c r="AL252" s="141"/>
      <c r="AM252" s="141"/>
      <c r="AN252" s="141"/>
      <c r="AO252" s="141"/>
      <c r="AP252" s="141"/>
      <c r="AQ252" s="141"/>
      <c r="AR252" s="141"/>
      <c r="AS252" s="141"/>
      <c r="AT252" s="141"/>
      <c r="AU252" s="141"/>
      <c r="AV252" s="141"/>
      <c r="AW252" s="141"/>
      <c r="AX252" s="141"/>
      <c r="AY252" s="141"/>
      <c r="AZ252" s="141"/>
      <c r="BA252" s="141"/>
      <c r="BB252" s="141"/>
      <c r="BC252" s="141"/>
      <c r="BD252" s="141"/>
      <c r="BE252" s="141"/>
      <c r="BF252" s="141"/>
      <c r="BG252" s="141"/>
      <c r="BH252" s="141"/>
      <c r="BI252" s="141"/>
      <c r="BJ252" s="141"/>
      <c r="BK252" s="141"/>
      <c r="BL252" s="141"/>
      <c r="BM252" s="141"/>
    </row>
    <row r="253" spans="1:65" ht="16.5" customHeight="1" outlineLevel="2" x14ac:dyDescent="0.2">
      <c r="A253" s="133"/>
      <c r="B253" s="323"/>
      <c r="C253" s="295" t="s">
        <v>257</v>
      </c>
      <c r="D253" s="296"/>
      <c r="E253" s="297">
        <f>E249*Données!D562+E250*Données!D563+E251*Données!D565+E17*Données!D566*VLOOKUP(E252,Données!$B$567:$G$569,3,FALSE())</f>
        <v>0</v>
      </c>
      <c r="F253" s="297">
        <f>F249*Données!F562+F250*Données!F563+F251*Données!F565+F17*Données!F566*VLOOKUP(F252,Données!$B$567:$G$569,5,FALSE())</f>
        <v>0</v>
      </c>
      <c r="G253" s="291" t="s">
        <v>258</v>
      </c>
      <c r="H253" s="292">
        <f>E253*Données!$D570</f>
        <v>0</v>
      </c>
      <c r="I253" s="292">
        <f>F253*Données!$D570</f>
        <v>0</v>
      </c>
      <c r="J253" s="310"/>
      <c r="K253" s="176"/>
      <c r="L253" s="141"/>
      <c r="M253" s="141"/>
      <c r="N253" s="141"/>
      <c r="O253" s="141"/>
      <c r="P253" s="141"/>
      <c r="Q253" s="141"/>
      <c r="R253" s="141"/>
      <c r="S253" s="141"/>
      <c r="T253" s="141"/>
      <c r="U253" s="141"/>
      <c r="V253" s="141"/>
      <c r="W253" s="141"/>
      <c r="X253" s="141"/>
      <c r="Y253" s="141"/>
      <c r="Z253" s="141"/>
      <c r="AA253" s="141"/>
      <c r="AB253" s="141"/>
      <c r="AC253" s="141"/>
      <c r="AD253" s="141"/>
      <c r="AE253" s="141"/>
      <c r="AF253" s="141"/>
      <c r="AG253" s="141"/>
      <c r="AH253" s="141"/>
      <c r="AI253" s="141"/>
      <c r="AJ253" s="141"/>
      <c r="AK253" s="141"/>
      <c r="AL253" s="141"/>
      <c r="AM253" s="141"/>
      <c r="AN253" s="141"/>
      <c r="AO253" s="141"/>
      <c r="AP253" s="141"/>
      <c r="AQ253" s="141"/>
      <c r="AR253" s="141"/>
      <c r="AS253" s="141"/>
      <c r="AT253" s="141"/>
      <c r="AU253" s="141"/>
      <c r="AV253" s="141"/>
      <c r="AW253" s="141"/>
      <c r="AX253" s="141"/>
      <c r="AY253" s="141"/>
      <c r="AZ253" s="141"/>
      <c r="BA253" s="141"/>
      <c r="BB253" s="141"/>
      <c r="BC253" s="141"/>
      <c r="BD253" s="141"/>
      <c r="BE253" s="141"/>
      <c r="BF253" s="141"/>
      <c r="BG253" s="141"/>
      <c r="BH253" s="141"/>
      <c r="BI253" s="141"/>
      <c r="BJ253" s="141"/>
      <c r="BK253" s="141"/>
      <c r="BL253" s="141"/>
      <c r="BM253" s="141"/>
    </row>
    <row r="254" spans="1:65" ht="16.5" customHeight="1" outlineLevel="2" x14ac:dyDescent="0.2">
      <c r="A254" s="133"/>
      <c r="B254" s="324"/>
      <c r="C254" s="299" t="s">
        <v>259</v>
      </c>
      <c r="D254" s="300"/>
      <c r="E254" s="301" t="e">
        <f>E253/E$18</f>
        <v>#DIV/0!</v>
      </c>
      <c r="F254" s="301" t="e">
        <f>F253/F$18</f>
        <v>#DIV/0!</v>
      </c>
      <c r="G254" s="302" t="s">
        <v>260</v>
      </c>
      <c r="H254" s="292"/>
      <c r="I254" s="292"/>
      <c r="J254" s="310"/>
      <c r="K254" s="176"/>
      <c r="L254" s="141"/>
      <c r="M254" s="141"/>
      <c r="N254" s="141"/>
      <c r="O254" s="141"/>
      <c r="P254" s="141"/>
      <c r="Q254" s="141"/>
      <c r="R254" s="141"/>
      <c r="S254" s="141"/>
      <c r="T254" s="141"/>
      <c r="U254" s="141"/>
      <c r="V254" s="141"/>
      <c r="W254" s="141"/>
      <c r="X254" s="141"/>
      <c r="Y254" s="141"/>
      <c r="Z254" s="141"/>
      <c r="AA254" s="141"/>
      <c r="AB254" s="141"/>
      <c r="AC254" s="141"/>
      <c r="AD254" s="141"/>
      <c r="AE254" s="141"/>
      <c r="AF254" s="141"/>
      <c r="AG254" s="141"/>
      <c r="AH254" s="141"/>
      <c r="AI254" s="141"/>
      <c r="AJ254" s="141"/>
      <c r="AK254" s="141"/>
      <c r="AL254" s="141"/>
      <c r="AM254" s="141"/>
      <c r="AN254" s="141"/>
      <c r="AO254" s="141"/>
      <c r="AP254" s="141"/>
      <c r="AQ254" s="141"/>
      <c r="AR254" s="141"/>
      <c r="AS254" s="141"/>
      <c r="AT254" s="141"/>
      <c r="AU254" s="141"/>
      <c r="AV254" s="141"/>
      <c r="AW254" s="141"/>
      <c r="AX254" s="141"/>
      <c r="AY254" s="141"/>
      <c r="AZ254" s="141"/>
      <c r="BA254" s="141"/>
      <c r="BB254" s="141"/>
      <c r="BC254" s="141"/>
      <c r="BD254" s="141"/>
      <c r="BE254" s="141"/>
      <c r="BF254" s="141"/>
      <c r="BG254" s="141"/>
      <c r="BH254" s="141"/>
      <c r="BI254" s="141"/>
      <c r="BJ254" s="141"/>
      <c r="BK254" s="141"/>
      <c r="BL254" s="141"/>
      <c r="BM254" s="141"/>
    </row>
    <row r="255" spans="1:65" ht="13.5" outlineLevel="1" x14ac:dyDescent="0.2">
      <c r="A255" s="133"/>
      <c r="B255" s="216"/>
      <c r="C255" s="171"/>
      <c r="D255" s="178"/>
      <c r="E255" s="179"/>
      <c r="F255" s="303"/>
      <c r="G255" s="304"/>
      <c r="H255" s="144"/>
      <c r="I255" s="144"/>
      <c r="J255" s="163"/>
      <c r="K255" s="144"/>
      <c r="L255" s="141"/>
      <c r="M255" s="141"/>
      <c r="N255" s="141"/>
      <c r="O255" s="141"/>
      <c r="P255" s="141"/>
      <c r="Q255" s="141"/>
      <c r="R255" s="141"/>
      <c r="S255" s="141"/>
      <c r="T255" s="141"/>
      <c r="U255" s="141"/>
      <c r="V255" s="141"/>
      <c r="W255" s="141"/>
      <c r="X255" s="141"/>
      <c r="Y255" s="141"/>
      <c r="Z255" s="141"/>
      <c r="AA255" s="141"/>
      <c r="AB255" s="141"/>
      <c r="AC255" s="141"/>
      <c r="AD255" s="141"/>
      <c r="AE255" s="141"/>
      <c r="AF255" s="141"/>
      <c r="AG255" s="141"/>
      <c r="AH255" s="141"/>
      <c r="AI255" s="141"/>
      <c r="AJ255" s="141"/>
      <c r="AK255" s="141"/>
      <c r="AL255" s="141"/>
      <c r="AM255" s="141"/>
      <c r="AN255" s="141"/>
      <c r="AO255" s="141"/>
      <c r="AP255" s="141"/>
      <c r="AQ255" s="141"/>
      <c r="AR255" s="141"/>
      <c r="AS255" s="141"/>
      <c r="AT255" s="141"/>
      <c r="AU255" s="141"/>
      <c r="AV255" s="141"/>
      <c r="AW255" s="141"/>
      <c r="AX255" s="141"/>
      <c r="AY255" s="141"/>
      <c r="AZ255" s="141"/>
      <c r="BA255" s="141"/>
      <c r="BB255" s="141"/>
      <c r="BC255" s="141"/>
      <c r="BD255" s="141"/>
      <c r="BE255" s="141"/>
      <c r="BF255" s="141"/>
      <c r="BG255" s="141"/>
      <c r="BH255" s="141"/>
      <c r="BI255" s="141"/>
      <c r="BJ255" s="141"/>
      <c r="BK255" s="141"/>
      <c r="BL255" s="141"/>
      <c r="BM255" s="141"/>
    </row>
    <row r="256" spans="1:65" ht="13.5" outlineLevel="1" x14ac:dyDescent="0.2">
      <c r="A256" s="133"/>
      <c r="B256" s="325" t="s">
        <v>300</v>
      </c>
      <c r="C256" s="273"/>
      <c r="D256" s="274" t="s">
        <v>301</v>
      </c>
      <c r="E256" s="277"/>
      <c r="F256" s="277"/>
      <c r="G256" s="305"/>
      <c r="H256" s="277"/>
      <c r="I256" s="277"/>
      <c r="J256" s="278"/>
      <c r="K256" s="279"/>
      <c r="L256" s="141"/>
      <c r="M256" s="141"/>
      <c r="N256" s="141"/>
      <c r="O256" s="141"/>
      <c r="P256" s="141"/>
      <c r="Q256" s="141"/>
      <c r="R256" s="141"/>
      <c r="S256" s="141"/>
      <c r="T256" s="141"/>
      <c r="U256" s="141"/>
      <c r="V256" s="141"/>
      <c r="W256" s="141"/>
      <c r="X256" s="141"/>
      <c r="Y256" s="141"/>
      <c r="Z256" s="141"/>
      <c r="AA256" s="141"/>
      <c r="AB256" s="141"/>
      <c r="AC256" s="141"/>
      <c r="AD256" s="141"/>
      <c r="AE256" s="141"/>
      <c r="AF256" s="141"/>
      <c r="AG256" s="141"/>
      <c r="AH256" s="141"/>
      <c r="AI256" s="141"/>
      <c r="AJ256" s="141"/>
      <c r="AK256" s="141"/>
      <c r="AL256" s="141"/>
      <c r="AM256" s="141"/>
      <c r="AN256" s="141"/>
      <c r="AO256" s="141"/>
      <c r="AP256" s="141"/>
      <c r="AQ256" s="141"/>
      <c r="AR256" s="141"/>
      <c r="AS256" s="141"/>
      <c r="AT256" s="141"/>
      <c r="AU256" s="141"/>
      <c r="AV256" s="141"/>
      <c r="AW256" s="141"/>
      <c r="AX256" s="141"/>
      <c r="AY256" s="141"/>
      <c r="AZ256" s="141"/>
      <c r="BA256" s="141"/>
      <c r="BB256" s="141"/>
      <c r="BC256" s="141"/>
      <c r="BD256" s="141"/>
      <c r="BE256" s="141"/>
      <c r="BF256" s="141"/>
      <c r="BG256" s="141"/>
      <c r="BH256" s="141"/>
      <c r="BI256" s="141"/>
      <c r="BJ256" s="141"/>
      <c r="BK256" s="141"/>
      <c r="BL256" s="141"/>
      <c r="BM256" s="141"/>
    </row>
    <row r="257" spans="1:65" ht="16.5" customHeight="1" outlineLevel="2" x14ac:dyDescent="0.2">
      <c r="A257" s="133"/>
      <c r="B257" s="322"/>
      <c r="C257" s="307" t="s">
        <v>302</v>
      </c>
      <c r="D257" s="308"/>
      <c r="E257" s="283">
        <v>0</v>
      </c>
      <c r="F257" s="283">
        <v>0</v>
      </c>
      <c r="G257" s="284" t="s">
        <v>303</v>
      </c>
      <c r="H257" s="285"/>
      <c r="I257" s="285"/>
      <c r="J257" s="310"/>
      <c r="K257" s="203"/>
      <c r="L257" s="141"/>
      <c r="M257" s="141"/>
      <c r="N257" s="141"/>
      <c r="O257" s="141"/>
      <c r="P257" s="141"/>
      <c r="Q257" s="141"/>
      <c r="R257" s="141"/>
      <c r="S257" s="141"/>
      <c r="T257" s="141"/>
      <c r="U257" s="141"/>
      <c r="V257" s="141"/>
      <c r="W257" s="141"/>
      <c r="X257" s="141"/>
      <c r="Y257" s="141"/>
      <c r="Z257" s="141"/>
      <c r="AA257" s="141"/>
      <c r="AB257" s="141"/>
      <c r="AC257" s="141"/>
      <c r="AD257" s="141"/>
      <c r="AE257" s="141"/>
      <c r="AF257" s="141"/>
      <c r="AG257" s="141"/>
      <c r="AH257" s="141"/>
      <c r="AI257" s="141"/>
      <c r="AJ257" s="141"/>
      <c r="AK257" s="141"/>
      <c r="AL257" s="141"/>
      <c r="AM257" s="141"/>
      <c r="AN257" s="141"/>
      <c r="AO257" s="141"/>
      <c r="AP257" s="141"/>
      <c r="AQ257" s="141"/>
      <c r="AR257" s="141"/>
      <c r="AS257" s="141"/>
      <c r="AT257" s="141"/>
      <c r="AU257" s="141"/>
      <c r="AV257" s="141"/>
      <c r="AW257" s="141"/>
      <c r="AX257" s="141"/>
      <c r="AY257" s="141"/>
      <c r="AZ257" s="141"/>
      <c r="BA257" s="141"/>
      <c r="BB257" s="141"/>
      <c r="BC257" s="141"/>
      <c r="BD257" s="141"/>
      <c r="BE257" s="141"/>
      <c r="BF257" s="141"/>
      <c r="BG257" s="141"/>
      <c r="BH257" s="141"/>
      <c r="BI257" s="141"/>
      <c r="BJ257" s="141"/>
      <c r="BK257" s="141"/>
      <c r="BL257" s="141"/>
      <c r="BM257" s="141"/>
    </row>
    <row r="258" spans="1:65" ht="16.5" customHeight="1" outlineLevel="2" x14ac:dyDescent="0.2">
      <c r="A258" s="133"/>
      <c r="B258" s="324"/>
      <c r="C258" s="295" t="s">
        <v>257</v>
      </c>
      <c r="D258" s="296"/>
      <c r="E258" s="297">
        <f>E257*Données!D572</f>
        <v>0</v>
      </c>
      <c r="F258" s="297">
        <f>F257*Données!F572</f>
        <v>0</v>
      </c>
      <c r="G258" s="326" t="s">
        <v>258</v>
      </c>
      <c r="H258" s="292">
        <f>E258*Données!$D573</f>
        <v>0</v>
      </c>
      <c r="I258" s="292">
        <f>F258*Données!$D573</f>
        <v>0</v>
      </c>
      <c r="J258" s="310"/>
      <c r="K258" s="176"/>
      <c r="L258" s="141"/>
      <c r="M258" s="141"/>
      <c r="N258" s="141"/>
      <c r="O258" s="141"/>
      <c r="P258" s="141"/>
      <c r="Q258" s="141"/>
      <c r="R258" s="141"/>
      <c r="S258" s="141"/>
      <c r="T258" s="141"/>
      <c r="U258" s="141"/>
      <c r="V258" s="141"/>
      <c r="W258" s="141"/>
      <c r="X258" s="141"/>
      <c r="Y258" s="141"/>
      <c r="Z258" s="141"/>
      <c r="AA258" s="141"/>
      <c r="AB258" s="141"/>
      <c r="AC258" s="141"/>
      <c r="AD258" s="141"/>
      <c r="AE258" s="141"/>
      <c r="AF258" s="141"/>
      <c r="AG258" s="141"/>
      <c r="AH258" s="141"/>
      <c r="AI258" s="141"/>
      <c r="AJ258" s="141"/>
      <c r="AK258" s="141"/>
      <c r="AL258" s="141"/>
      <c r="AM258" s="141"/>
      <c r="AN258" s="141"/>
      <c r="AO258" s="141"/>
      <c r="AP258" s="141"/>
      <c r="AQ258" s="141"/>
      <c r="AR258" s="141"/>
      <c r="AS258" s="141"/>
      <c r="AT258" s="141"/>
      <c r="AU258" s="141"/>
      <c r="AV258" s="141"/>
      <c r="AW258" s="141"/>
      <c r="AX258" s="141"/>
      <c r="AY258" s="141"/>
      <c r="AZ258" s="141"/>
      <c r="BA258" s="141"/>
      <c r="BB258" s="141"/>
      <c r="BC258" s="141"/>
      <c r="BD258" s="141"/>
      <c r="BE258" s="141"/>
      <c r="BF258" s="141"/>
      <c r="BG258" s="141"/>
      <c r="BH258" s="141"/>
      <c r="BI258" s="141"/>
      <c r="BJ258" s="141"/>
      <c r="BK258" s="141"/>
      <c r="BL258" s="141"/>
      <c r="BM258" s="141"/>
    </row>
    <row r="259" spans="1:65" ht="13.5" outlineLevel="1" x14ac:dyDescent="0.2">
      <c r="A259" s="133"/>
      <c r="B259" s="216"/>
      <c r="C259" s="171"/>
      <c r="D259" s="178"/>
      <c r="E259" s="179"/>
      <c r="F259" s="303"/>
      <c r="G259" s="304"/>
      <c r="H259" s="144"/>
      <c r="I259" s="144"/>
      <c r="J259" s="163"/>
      <c r="K259" s="144"/>
      <c r="L259" s="141"/>
      <c r="M259" s="141"/>
      <c r="N259" s="141"/>
      <c r="O259" s="141"/>
      <c r="P259" s="141"/>
      <c r="Q259" s="141"/>
      <c r="R259" s="141"/>
      <c r="S259" s="141"/>
      <c r="T259" s="141"/>
      <c r="U259" s="141"/>
      <c r="V259" s="141"/>
      <c r="W259" s="141"/>
      <c r="X259" s="141"/>
      <c r="Y259" s="141"/>
      <c r="Z259" s="141"/>
      <c r="AA259" s="141"/>
      <c r="AB259" s="141"/>
      <c r="AC259" s="141"/>
      <c r="AD259" s="141"/>
      <c r="AE259" s="141"/>
      <c r="AF259" s="141"/>
      <c r="AG259" s="141"/>
      <c r="AH259" s="141"/>
      <c r="AI259" s="141"/>
      <c r="AJ259" s="141"/>
      <c r="AK259" s="141"/>
      <c r="AL259" s="141"/>
      <c r="AM259" s="141"/>
      <c r="AN259" s="141"/>
      <c r="AO259" s="141"/>
      <c r="AP259" s="141"/>
      <c r="AQ259" s="141"/>
      <c r="AR259" s="141"/>
      <c r="AS259" s="141"/>
      <c r="AT259" s="141"/>
      <c r="AU259" s="141"/>
      <c r="AV259" s="141"/>
      <c r="AW259" s="141"/>
      <c r="AX259" s="141"/>
      <c r="AY259" s="141"/>
      <c r="AZ259" s="141"/>
      <c r="BA259" s="141"/>
      <c r="BB259" s="141"/>
      <c r="BC259" s="141"/>
      <c r="BD259" s="141"/>
      <c r="BE259" s="141"/>
      <c r="BF259" s="141"/>
      <c r="BG259" s="141"/>
      <c r="BH259" s="141"/>
      <c r="BI259" s="141"/>
      <c r="BJ259" s="141"/>
      <c r="BK259" s="141"/>
      <c r="BL259" s="141"/>
      <c r="BM259" s="141"/>
    </row>
    <row r="260" spans="1:65" ht="16.5" customHeight="1" outlineLevel="1" x14ac:dyDescent="0.2">
      <c r="A260" s="133" t="s">
        <v>304</v>
      </c>
      <c r="B260" s="325" t="s">
        <v>305</v>
      </c>
      <c r="C260" s="273"/>
      <c r="D260" s="274" t="s">
        <v>306</v>
      </c>
      <c r="E260" s="277"/>
      <c r="F260" s="277"/>
      <c r="G260" s="305"/>
      <c r="H260" s="277"/>
      <c r="I260" s="277"/>
      <c r="J260" s="278"/>
      <c r="K260" s="279"/>
      <c r="L260" s="141"/>
      <c r="M260" s="141"/>
      <c r="N260" s="141"/>
      <c r="O260" s="141"/>
      <c r="P260" s="141"/>
      <c r="Q260" s="141"/>
      <c r="R260" s="141"/>
      <c r="S260" s="141"/>
      <c r="T260" s="141"/>
      <c r="U260" s="141"/>
      <c r="V260" s="141"/>
      <c r="W260" s="141"/>
      <c r="X260" s="141"/>
      <c r="Y260" s="141"/>
      <c r="Z260" s="141"/>
      <c r="AA260" s="141"/>
      <c r="AB260" s="141"/>
      <c r="AC260" s="141"/>
      <c r="AD260" s="141"/>
      <c r="AE260" s="141"/>
      <c r="AF260" s="141"/>
      <c r="AG260" s="141"/>
      <c r="AH260" s="141"/>
      <c r="AI260" s="141"/>
      <c r="AJ260" s="141"/>
      <c r="AK260" s="141"/>
      <c r="AL260" s="141"/>
      <c r="AM260" s="141"/>
      <c r="AN260" s="141"/>
      <c r="AO260" s="141"/>
      <c r="AP260" s="141"/>
      <c r="AQ260" s="141"/>
      <c r="AR260" s="141"/>
      <c r="AS260" s="141"/>
      <c r="AT260" s="141"/>
      <c r="AU260" s="141"/>
      <c r="AV260" s="141"/>
      <c r="AW260" s="141"/>
      <c r="AX260" s="141"/>
      <c r="AY260" s="141"/>
      <c r="AZ260" s="141"/>
      <c r="BA260" s="141"/>
      <c r="BB260" s="141"/>
      <c r="BC260" s="141"/>
      <c r="BD260" s="141"/>
      <c r="BE260" s="141"/>
      <c r="BF260" s="141"/>
      <c r="BG260" s="141"/>
      <c r="BH260" s="141"/>
      <c r="BI260" s="141"/>
      <c r="BJ260" s="141"/>
      <c r="BK260" s="141"/>
      <c r="BL260" s="141"/>
      <c r="BM260" s="141"/>
    </row>
    <row r="261" spans="1:65" ht="16.5" customHeight="1" outlineLevel="2" x14ac:dyDescent="0.2">
      <c r="A261" s="133"/>
      <c r="B261" s="322" t="s">
        <v>12</v>
      </c>
      <c r="C261" s="281" t="s">
        <v>307</v>
      </c>
      <c r="D261" s="282"/>
      <c r="E261" s="283">
        <f>E$249</f>
        <v>0</v>
      </c>
      <c r="F261" s="283">
        <f>F$249</f>
        <v>0</v>
      </c>
      <c r="G261" s="284" t="s">
        <v>251</v>
      </c>
      <c r="H261" s="285"/>
      <c r="I261" s="285"/>
      <c r="J261" s="316"/>
      <c r="K261" s="203"/>
      <c r="L261" s="141"/>
      <c r="M261" s="141"/>
      <c r="N261" s="141"/>
      <c r="O261" s="141"/>
      <c r="P261" s="141"/>
      <c r="Q261" s="141"/>
      <c r="R261" s="141"/>
      <c r="S261" s="141"/>
      <c r="T261" s="141"/>
      <c r="U261" s="141"/>
      <c r="V261" s="141"/>
      <c r="W261" s="141"/>
      <c r="X261" s="141"/>
      <c r="Y261" s="141"/>
      <c r="Z261" s="141"/>
      <c r="AA261" s="141"/>
      <c r="AB261" s="141"/>
      <c r="AC261" s="141"/>
      <c r="AD261" s="141"/>
      <c r="AE261" s="141"/>
      <c r="AF261" s="141"/>
      <c r="AG261" s="141"/>
      <c r="AH261" s="141"/>
      <c r="AI261" s="141"/>
      <c r="AJ261" s="141"/>
      <c r="AK261" s="141"/>
      <c r="AL261" s="141"/>
      <c r="AM261" s="141"/>
      <c r="AN261" s="141"/>
      <c r="AO261" s="141"/>
      <c r="AP261" s="141"/>
      <c r="AQ261" s="141"/>
      <c r="AR261" s="141"/>
      <c r="AS261" s="141"/>
      <c r="AT261" s="141"/>
      <c r="AU261" s="141"/>
      <c r="AV261" s="141"/>
      <c r="AW261" s="141"/>
      <c r="AX261" s="141"/>
      <c r="AY261" s="141"/>
      <c r="AZ261" s="141"/>
      <c r="BA261" s="141"/>
      <c r="BB261" s="141"/>
      <c r="BC261" s="141"/>
      <c r="BD261" s="141"/>
      <c r="BE261" s="141"/>
      <c r="BF261" s="141"/>
      <c r="BG261" s="141"/>
      <c r="BH261" s="141"/>
      <c r="BI261" s="141"/>
      <c r="BJ261" s="141"/>
      <c r="BK261" s="141"/>
      <c r="BL261" s="141"/>
      <c r="BM261" s="141"/>
    </row>
    <row r="262" spans="1:65" ht="13.5" outlineLevel="2" x14ac:dyDescent="0.2">
      <c r="A262" s="133"/>
      <c r="B262" s="327"/>
      <c r="C262" s="299" t="s">
        <v>308</v>
      </c>
      <c r="D262" s="300"/>
      <c r="E262" s="317" t="s">
        <v>309</v>
      </c>
      <c r="F262" s="317" t="s">
        <v>139</v>
      </c>
      <c r="G262" s="302" t="s">
        <v>143</v>
      </c>
      <c r="H262" s="292"/>
      <c r="I262" s="292"/>
      <c r="J262" s="286"/>
      <c r="K262" s="176"/>
      <c r="L262" s="141"/>
      <c r="M262" s="141"/>
      <c r="N262" s="141"/>
      <c r="O262" s="141"/>
      <c r="P262" s="141"/>
      <c r="Q262" s="141"/>
      <c r="R262" s="141"/>
      <c r="S262" s="141"/>
      <c r="T262" s="141"/>
      <c r="U262" s="141"/>
      <c r="V262" s="141"/>
      <c r="W262" s="141"/>
      <c r="X262" s="141"/>
      <c r="Y262" s="141"/>
      <c r="Z262" s="141"/>
      <c r="AA262" s="141"/>
      <c r="AB262" s="141"/>
      <c r="AC262" s="141"/>
      <c r="AD262" s="141"/>
      <c r="AE262" s="141"/>
      <c r="AF262" s="141"/>
      <c r="AG262" s="141"/>
      <c r="AH262" s="141"/>
      <c r="AI262" s="141"/>
      <c r="AJ262" s="141"/>
      <c r="AK262" s="141"/>
      <c r="AL262" s="141"/>
      <c r="AM262" s="141"/>
      <c r="AN262" s="141"/>
      <c r="AO262" s="141"/>
      <c r="AP262" s="141"/>
      <c r="AQ262" s="141"/>
      <c r="AR262" s="141"/>
      <c r="AS262" s="141"/>
      <c r="AT262" s="141"/>
      <c r="AU262" s="141"/>
      <c r="AV262" s="141"/>
      <c r="AW262" s="141"/>
      <c r="AX262" s="141"/>
      <c r="AY262" s="141"/>
      <c r="AZ262" s="141"/>
      <c r="BA262" s="141"/>
      <c r="BB262" s="141"/>
      <c r="BC262" s="141"/>
      <c r="BD262" s="141"/>
      <c r="BE262" s="141"/>
      <c r="BF262" s="141"/>
      <c r="BG262" s="141"/>
      <c r="BH262" s="141"/>
      <c r="BI262" s="141"/>
      <c r="BJ262" s="141"/>
      <c r="BK262" s="141"/>
      <c r="BL262" s="141"/>
      <c r="BM262" s="141"/>
    </row>
    <row r="263" spans="1:65" ht="16.5" customHeight="1" outlineLevel="2" x14ac:dyDescent="0.2">
      <c r="A263" s="133"/>
      <c r="B263" s="320" t="str">
        <f>IF(PROJET!$E$9=0,"Tertiaire",$C$17)</f>
        <v>Tertiaire</v>
      </c>
      <c r="C263" s="299" t="s">
        <v>310</v>
      </c>
      <c r="D263" s="300"/>
      <c r="E263" s="290">
        <v>0</v>
      </c>
      <c r="F263" s="290">
        <v>0</v>
      </c>
      <c r="G263" s="302" t="s">
        <v>106</v>
      </c>
      <c r="H263" s="292"/>
      <c r="I263" s="292"/>
      <c r="J263" s="310"/>
      <c r="K263" s="176"/>
      <c r="L263" s="141"/>
      <c r="M263" s="141"/>
      <c r="N263" s="141"/>
      <c r="O263" s="141"/>
      <c r="P263" s="141"/>
      <c r="Q263" s="141"/>
      <c r="R263" s="141"/>
      <c r="S263" s="141"/>
      <c r="T263" s="141"/>
      <c r="U263" s="141"/>
      <c r="V263" s="141"/>
      <c r="W263" s="141"/>
      <c r="X263" s="141"/>
      <c r="Y263" s="141"/>
      <c r="Z263" s="141"/>
      <c r="AA263" s="141"/>
      <c r="AB263" s="141"/>
      <c r="AC263" s="141"/>
      <c r="AD263" s="141"/>
      <c r="AE263" s="141"/>
      <c r="AF263" s="141"/>
      <c r="AG263" s="141"/>
      <c r="AH263" s="141"/>
      <c r="AI263" s="141"/>
      <c r="AJ263" s="141"/>
      <c r="AK263" s="141"/>
      <c r="AL263" s="141"/>
      <c r="AM263" s="141"/>
      <c r="AN263" s="141"/>
      <c r="AO263" s="141"/>
      <c r="AP263" s="141"/>
      <c r="AQ263" s="141"/>
      <c r="AR263" s="141"/>
      <c r="AS263" s="141"/>
      <c r="AT263" s="141"/>
      <c r="AU263" s="141"/>
      <c r="AV263" s="141"/>
      <c r="AW263" s="141"/>
      <c r="AX263" s="141"/>
      <c r="AY263" s="141"/>
      <c r="AZ263" s="141"/>
      <c r="BA263" s="141"/>
      <c r="BB263" s="141"/>
      <c r="BC263" s="141"/>
      <c r="BD263" s="141"/>
      <c r="BE263" s="141"/>
      <c r="BF263" s="141"/>
      <c r="BG263" s="141"/>
      <c r="BH263" s="141"/>
      <c r="BI263" s="141"/>
      <c r="BJ263" s="141"/>
      <c r="BK263" s="141"/>
      <c r="BL263" s="141"/>
      <c r="BM263" s="141"/>
    </row>
    <row r="264" spans="1:65" ht="16.5" customHeight="1" outlineLevel="2" x14ac:dyDescent="0.2">
      <c r="A264" s="133"/>
      <c r="B264" s="322"/>
      <c r="C264" s="299" t="s">
        <v>311</v>
      </c>
      <c r="D264" s="300"/>
      <c r="E264" s="290" t="s">
        <v>139</v>
      </c>
      <c r="F264" s="290" t="s">
        <v>139</v>
      </c>
      <c r="G264" s="302" t="s">
        <v>143</v>
      </c>
      <c r="H264" s="292"/>
      <c r="I264" s="292"/>
      <c r="J264" s="310"/>
      <c r="K264" s="176"/>
      <c r="L264" s="141"/>
      <c r="M264" s="141"/>
      <c r="N264" s="141"/>
      <c r="O264" s="141"/>
      <c r="P264" s="141"/>
      <c r="Q264" s="141"/>
      <c r="R264" s="141"/>
      <c r="S264" s="141"/>
      <c r="T264" s="141"/>
      <c r="U264" s="141"/>
      <c r="V264" s="141"/>
      <c r="W264" s="141"/>
      <c r="X264" s="141"/>
      <c r="Y264" s="141"/>
      <c r="Z264" s="141"/>
      <c r="AA264" s="141"/>
      <c r="AB264" s="141"/>
      <c r="AC264" s="141"/>
      <c r="AD264" s="141"/>
      <c r="AE264" s="141"/>
      <c r="AF264" s="141"/>
      <c r="AG264" s="141"/>
      <c r="AH264" s="141"/>
      <c r="AI264" s="141"/>
      <c r="AJ264" s="141"/>
      <c r="AK264" s="141"/>
      <c r="AL264" s="141"/>
      <c r="AM264" s="141"/>
      <c r="AN264" s="141"/>
      <c r="AO264" s="141"/>
      <c r="AP264" s="141"/>
      <c r="AQ264" s="141"/>
      <c r="AR264" s="141"/>
      <c r="AS264" s="141"/>
      <c r="AT264" s="141"/>
      <c r="AU264" s="141"/>
      <c r="AV264" s="141"/>
      <c r="AW264" s="141"/>
      <c r="AX264" s="141"/>
      <c r="AY264" s="141"/>
      <c r="AZ264" s="141"/>
      <c r="BA264" s="141"/>
      <c r="BB264" s="141"/>
      <c r="BC264" s="141"/>
      <c r="BD264" s="141"/>
      <c r="BE264" s="141"/>
      <c r="BF264" s="141"/>
      <c r="BG264" s="141"/>
      <c r="BH264" s="141"/>
      <c r="BI264" s="141"/>
      <c r="BJ264" s="141"/>
      <c r="BK264" s="141"/>
      <c r="BL264" s="141"/>
      <c r="BM264" s="141"/>
    </row>
    <row r="265" spans="1:65" ht="16.5" customHeight="1" outlineLevel="2" x14ac:dyDescent="0.2">
      <c r="A265" s="133"/>
      <c r="B265" s="322"/>
      <c r="C265" s="299" t="s">
        <v>312</v>
      </c>
      <c r="D265" s="300"/>
      <c r="E265" s="290" t="s">
        <v>139</v>
      </c>
      <c r="F265" s="290" t="s">
        <v>139</v>
      </c>
      <c r="G265" s="302" t="s">
        <v>143</v>
      </c>
      <c r="H265" s="292"/>
      <c r="I265" s="292"/>
      <c r="J265" s="310"/>
      <c r="K265" s="176"/>
      <c r="L265" s="141"/>
      <c r="M265" s="141"/>
      <c r="N265" s="141"/>
      <c r="O265" s="141"/>
      <c r="P265" s="141"/>
      <c r="Q265" s="141"/>
      <c r="R265" s="141"/>
      <c r="S265" s="141"/>
      <c r="T265" s="141"/>
      <c r="U265" s="141"/>
      <c r="V265" s="141"/>
      <c r="W265" s="141"/>
      <c r="X265" s="141"/>
      <c r="Y265" s="141"/>
      <c r="Z265" s="141"/>
      <c r="AA265" s="141"/>
      <c r="AB265" s="141"/>
      <c r="AC265" s="141"/>
      <c r="AD265" s="141"/>
      <c r="AE265" s="141"/>
      <c r="AF265" s="141"/>
      <c r="AG265" s="141"/>
      <c r="AH265" s="141"/>
      <c r="AI265" s="141"/>
      <c r="AJ265" s="141"/>
      <c r="AK265" s="141"/>
      <c r="AL265" s="141"/>
      <c r="AM265" s="141"/>
      <c r="AN265" s="141"/>
      <c r="AO265" s="141"/>
      <c r="AP265" s="141"/>
      <c r="AQ265" s="141"/>
      <c r="AR265" s="141"/>
      <c r="AS265" s="141"/>
      <c r="AT265" s="141"/>
      <c r="AU265" s="141"/>
      <c r="AV265" s="141"/>
      <c r="AW265" s="141"/>
      <c r="AX265" s="141"/>
      <c r="AY265" s="141"/>
      <c r="AZ265" s="141"/>
      <c r="BA265" s="141"/>
      <c r="BB265" s="141"/>
      <c r="BC265" s="141"/>
      <c r="BD265" s="141"/>
      <c r="BE265" s="141"/>
      <c r="BF265" s="141"/>
      <c r="BG265" s="141"/>
      <c r="BH265" s="141"/>
      <c r="BI265" s="141"/>
      <c r="BJ265" s="141"/>
      <c r="BK265" s="141"/>
      <c r="BL265" s="141"/>
      <c r="BM265" s="141"/>
    </row>
    <row r="266" spans="1:65" ht="16.5" customHeight="1" outlineLevel="2" x14ac:dyDescent="0.2">
      <c r="A266" s="133"/>
      <c r="B266" s="323"/>
      <c r="C266" s="295" t="s">
        <v>257</v>
      </c>
      <c r="D266" s="296"/>
      <c r="E266" s="297">
        <f>IF(E$262=Données!B578,E$261*Données!D578,0)+E$263*(IF(RIGHT(E$264,1)="z",0,VLOOKUP(E$264,Données!$B$581:$G$586,3,FALSE()))+IF(RIGHT(E$265,1)="z",0,VLOOKUP(E$265,Données!$B$587:$G$592,3,FALSE())))</f>
        <v>0</v>
      </c>
      <c r="F266" s="297">
        <f>IF(F$262=Données!B578,F$261*Données!E578,0)+F$263*(IF(RIGHT(F$264,1)="z",0,VLOOKUP(F$264,Données!$B$581:$G$586,5,FALSE()))+IF(RIGHT(F$265,1)="z",0,VLOOKUP(F$265,Données!$B$587:$G$592,5,FALSE())))</f>
        <v>0</v>
      </c>
      <c r="G266" s="321" t="s">
        <v>258</v>
      </c>
      <c r="H266" s="292">
        <f>E266*Données!$D593</f>
        <v>0</v>
      </c>
      <c r="I266" s="292">
        <f>F266*Données!$D593</f>
        <v>0</v>
      </c>
      <c r="J266" s="310"/>
      <c r="K266" s="176"/>
      <c r="L266" s="141"/>
      <c r="M266" s="141"/>
      <c r="N266" s="141"/>
      <c r="O266" s="141"/>
      <c r="P266" s="141"/>
      <c r="Q266" s="141"/>
      <c r="R266" s="141"/>
      <c r="S266" s="141"/>
      <c r="T266" s="141"/>
      <c r="U266" s="141"/>
      <c r="V266" s="141"/>
      <c r="W266" s="141"/>
      <c r="X266" s="141"/>
      <c r="Y266" s="141"/>
      <c r="Z266" s="141"/>
      <c r="AA266" s="141"/>
      <c r="AB266" s="141"/>
      <c r="AC266" s="141"/>
      <c r="AD266" s="141"/>
      <c r="AE266" s="141"/>
      <c r="AF266" s="141"/>
      <c r="AG266" s="141"/>
      <c r="AH266" s="141"/>
      <c r="AI266" s="141"/>
      <c r="AJ266" s="141"/>
      <c r="AK266" s="141"/>
      <c r="AL266" s="141"/>
      <c r="AM266" s="141"/>
      <c r="AN266" s="141"/>
      <c r="AO266" s="141"/>
      <c r="AP266" s="141"/>
      <c r="AQ266" s="141"/>
      <c r="AR266" s="141"/>
      <c r="AS266" s="141"/>
      <c r="AT266" s="141"/>
      <c r="AU266" s="141"/>
      <c r="AV266" s="141"/>
      <c r="AW266" s="141"/>
      <c r="AX266" s="141"/>
      <c r="AY266" s="141"/>
      <c r="AZ266" s="141"/>
      <c r="BA266" s="141"/>
      <c r="BB266" s="141"/>
      <c r="BC266" s="141"/>
      <c r="BD266" s="141"/>
      <c r="BE266" s="141"/>
      <c r="BF266" s="141"/>
      <c r="BG266" s="141"/>
      <c r="BH266" s="141"/>
      <c r="BI266" s="141"/>
      <c r="BJ266" s="141"/>
      <c r="BK266" s="141"/>
      <c r="BL266" s="141"/>
      <c r="BM266" s="141"/>
    </row>
    <row r="267" spans="1:65" ht="16.5" customHeight="1" outlineLevel="2" x14ac:dyDescent="0.2">
      <c r="A267" s="133"/>
      <c r="B267" s="324"/>
      <c r="C267" s="295" t="s">
        <v>313</v>
      </c>
      <c r="D267" s="296"/>
      <c r="E267" s="297">
        <f>IF(E$262=Données!B579,E$261*Données!D579,0)+E$263*(IF(RIGHT(E$264,1)="z",VLOOKUP(E$264,Données!$B$581:$G$586,3,FALSE()),0)+IF(RIGHT(E$265,1)="z",VLOOKUP(E$265,Données!$B$587:$G$592,3,FALSE()),0))</f>
        <v>0</v>
      </c>
      <c r="F267" s="297">
        <f>IF(F$262=Données!B579,F$261*Données!E579,0)+F$263*(IF(RIGHT(F$264,1)="z",VLOOKUP(F$264,Données!$B$581:$G$586,5,FALSE()),0)+IF(RIGHT(F$265,1)="z",VLOOKUP(F$265,Données!$B$587:$G$592,5,FALSE()),0))</f>
        <v>0</v>
      </c>
      <c r="G267" s="326" t="s">
        <v>258</v>
      </c>
      <c r="H267" s="292">
        <f>E267*Données!$D594</f>
        <v>0</v>
      </c>
      <c r="I267" s="292">
        <f>F267*Données!$D594</f>
        <v>0</v>
      </c>
      <c r="J267" s="310"/>
      <c r="K267" s="176"/>
      <c r="L267" s="141"/>
      <c r="M267" s="141"/>
      <c r="N267" s="141"/>
      <c r="O267" s="141"/>
      <c r="P267" s="141"/>
      <c r="Q267" s="141"/>
      <c r="R267" s="141"/>
      <c r="S267" s="141"/>
      <c r="T267" s="141"/>
      <c r="U267" s="141"/>
      <c r="V267" s="141"/>
      <c r="W267" s="141"/>
      <c r="X267" s="141"/>
      <c r="Y267" s="141"/>
      <c r="Z267" s="141"/>
      <c r="AA267" s="141"/>
      <c r="AB267" s="141"/>
      <c r="AC267" s="141"/>
      <c r="AD267" s="141"/>
      <c r="AE267" s="141"/>
      <c r="AF267" s="141"/>
      <c r="AG267" s="141"/>
      <c r="AH267" s="141"/>
      <c r="AI267" s="141"/>
      <c r="AJ267" s="141"/>
      <c r="AK267" s="141"/>
      <c r="AL267" s="141"/>
      <c r="AM267" s="141"/>
      <c r="AN267" s="141"/>
      <c r="AO267" s="141"/>
      <c r="AP267" s="141"/>
      <c r="AQ267" s="141"/>
      <c r="AR267" s="141"/>
      <c r="AS267" s="141"/>
      <c r="AT267" s="141"/>
      <c r="AU267" s="141"/>
      <c r="AV267" s="141"/>
      <c r="AW267" s="141"/>
      <c r="AX267" s="141"/>
      <c r="AY267" s="141"/>
      <c r="AZ267" s="141"/>
      <c r="BA267" s="141"/>
      <c r="BB267" s="141"/>
      <c r="BC267" s="141"/>
      <c r="BD267" s="141"/>
      <c r="BE267" s="141"/>
      <c r="BF267" s="141"/>
      <c r="BG267" s="141"/>
      <c r="BH267" s="141"/>
      <c r="BI267" s="141"/>
      <c r="BJ267" s="141"/>
      <c r="BK267" s="141"/>
      <c r="BL267" s="141"/>
      <c r="BM267" s="141"/>
    </row>
    <row r="268" spans="1:65" ht="13.5" outlineLevel="1" x14ac:dyDescent="0.2">
      <c r="A268" s="133"/>
      <c r="B268" s="216"/>
      <c r="C268" s="171"/>
      <c r="D268" s="178"/>
      <c r="E268" s="179"/>
      <c r="F268" s="303"/>
      <c r="G268" s="304"/>
      <c r="H268" s="144"/>
      <c r="I268" s="144"/>
      <c r="J268" s="163"/>
      <c r="K268" s="144"/>
      <c r="L268" s="141"/>
      <c r="M268" s="141"/>
      <c r="N268" s="141"/>
      <c r="O268" s="141"/>
      <c r="P268" s="141"/>
      <c r="Q268" s="141"/>
      <c r="R268" s="141"/>
      <c r="S268" s="141"/>
      <c r="T268" s="141"/>
      <c r="U268" s="141"/>
      <c r="V268" s="141"/>
      <c r="W268" s="141"/>
      <c r="X268" s="141"/>
      <c r="Y268" s="141"/>
      <c r="Z268" s="141"/>
      <c r="AA268" s="141"/>
      <c r="AB268" s="141"/>
      <c r="AC268" s="141"/>
      <c r="AD268" s="141"/>
      <c r="AE268" s="141"/>
      <c r="AF268" s="141"/>
      <c r="AG268" s="141"/>
      <c r="AH268" s="141"/>
      <c r="AI268" s="141"/>
      <c r="AJ268" s="141"/>
      <c r="AK268" s="141"/>
      <c r="AL268" s="141"/>
      <c r="AM268" s="141"/>
      <c r="AN268" s="141"/>
      <c r="AO268" s="141"/>
      <c r="AP268" s="141"/>
      <c r="AQ268" s="141"/>
      <c r="AR268" s="141"/>
      <c r="AS268" s="141"/>
      <c r="AT268" s="141"/>
      <c r="AU268" s="141"/>
      <c r="AV268" s="141"/>
      <c r="AW268" s="141"/>
      <c r="AX268" s="141"/>
      <c r="AY268" s="141"/>
      <c r="AZ268" s="141"/>
      <c r="BA268" s="141"/>
      <c r="BB268" s="141"/>
      <c r="BC268" s="141"/>
      <c r="BD268" s="141"/>
      <c r="BE268" s="141"/>
      <c r="BF268" s="141"/>
      <c r="BG268" s="141"/>
      <c r="BH268" s="141"/>
      <c r="BI268" s="141"/>
      <c r="BJ268" s="141"/>
      <c r="BK268" s="141"/>
      <c r="BL268" s="141"/>
      <c r="BM268" s="141"/>
    </row>
    <row r="269" spans="1:65" ht="16.5" customHeight="1" outlineLevel="1" x14ac:dyDescent="0.2">
      <c r="A269" s="133"/>
      <c r="B269" s="325" t="s">
        <v>314</v>
      </c>
      <c r="C269" s="273"/>
      <c r="D269" s="274" t="s">
        <v>315</v>
      </c>
      <c r="E269" s="277"/>
      <c r="F269" s="277"/>
      <c r="G269" s="305"/>
      <c r="H269" s="277"/>
      <c r="I269" s="277"/>
      <c r="J269" s="278"/>
      <c r="K269" s="279"/>
      <c r="L269" s="141"/>
      <c r="M269" s="141"/>
      <c r="N269" s="141"/>
      <c r="O269" s="141"/>
      <c r="P269" s="141"/>
      <c r="Q269" s="141"/>
      <c r="R269" s="141"/>
      <c r="S269" s="141"/>
      <c r="T269" s="141"/>
      <c r="U269" s="141"/>
      <c r="V269" s="141"/>
      <c r="W269" s="141"/>
      <c r="X269" s="141"/>
      <c r="Y269" s="141"/>
      <c r="Z269" s="141"/>
      <c r="AA269" s="141"/>
      <c r="AB269" s="141"/>
      <c r="AC269" s="141"/>
      <c r="AD269" s="141"/>
      <c r="AE269" s="141"/>
      <c r="AF269" s="141"/>
      <c r="AG269" s="141"/>
      <c r="AH269" s="141"/>
      <c r="AI269" s="141"/>
      <c r="AJ269" s="141"/>
      <c r="AK269" s="141"/>
      <c r="AL269" s="141"/>
      <c r="AM269" s="141"/>
      <c r="AN269" s="141"/>
      <c r="AO269" s="141"/>
      <c r="AP269" s="141"/>
      <c r="AQ269" s="141"/>
      <c r="AR269" s="141"/>
      <c r="AS269" s="141"/>
      <c r="AT269" s="141"/>
      <c r="AU269" s="141"/>
      <c r="AV269" s="141"/>
      <c r="AW269" s="141"/>
      <c r="AX269" s="141"/>
      <c r="AY269" s="141"/>
      <c r="AZ269" s="141"/>
      <c r="BA269" s="141"/>
      <c r="BB269" s="141"/>
      <c r="BC269" s="141"/>
      <c r="BD269" s="141"/>
      <c r="BE269" s="141"/>
      <c r="BF269" s="141"/>
      <c r="BG269" s="141"/>
      <c r="BH269" s="141"/>
      <c r="BI269" s="141"/>
      <c r="BJ269" s="141"/>
      <c r="BK269" s="141"/>
      <c r="BL269" s="141"/>
      <c r="BM269" s="141"/>
    </row>
    <row r="270" spans="1:65" ht="16.5" customHeight="1" outlineLevel="2" x14ac:dyDescent="0.2">
      <c r="A270" s="133"/>
      <c r="B270" s="322" t="s">
        <v>12</v>
      </c>
      <c r="C270" s="307" t="s">
        <v>316</v>
      </c>
      <c r="D270" s="308"/>
      <c r="E270" s="284"/>
      <c r="F270" s="284"/>
      <c r="G270" s="284"/>
      <c r="H270" s="285"/>
      <c r="I270" s="285"/>
      <c r="J270" s="316"/>
      <c r="K270" s="203"/>
      <c r="L270" s="141"/>
      <c r="M270" s="141"/>
      <c r="N270" s="141"/>
      <c r="O270" s="141"/>
      <c r="P270" s="141"/>
      <c r="Q270" s="141"/>
      <c r="R270" s="141"/>
      <c r="S270" s="141"/>
      <c r="T270" s="141"/>
      <c r="U270" s="141"/>
      <c r="V270" s="141"/>
      <c r="W270" s="141"/>
      <c r="X270" s="141"/>
      <c r="Y270" s="141"/>
      <c r="Z270" s="141"/>
      <c r="AA270" s="141"/>
      <c r="AB270" s="141"/>
      <c r="AC270" s="141"/>
      <c r="AD270" s="141"/>
      <c r="AE270" s="141"/>
      <c r="AF270" s="141"/>
      <c r="AG270" s="141"/>
      <c r="AH270" s="141"/>
      <c r="AI270" s="141"/>
      <c r="AJ270" s="141"/>
      <c r="AK270" s="141"/>
      <c r="AL270" s="141"/>
      <c r="AM270" s="141"/>
      <c r="AN270" s="141"/>
      <c r="AO270" s="141"/>
      <c r="AP270" s="141"/>
      <c r="AQ270" s="141"/>
      <c r="AR270" s="141"/>
      <c r="AS270" s="141"/>
      <c r="AT270" s="141"/>
      <c r="AU270" s="141"/>
      <c r="AV270" s="141"/>
      <c r="AW270" s="141"/>
      <c r="AX270" s="141"/>
      <c r="AY270" s="141"/>
      <c r="AZ270" s="141"/>
      <c r="BA270" s="141"/>
      <c r="BB270" s="141"/>
      <c r="BC270" s="141"/>
      <c r="BD270" s="141"/>
      <c r="BE270" s="141"/>
      <c r="BF270" s="141"/>
      <c r="BG270" s="141"/>
      <c r="BH270" s="141"/>
      <c r="BI270" s="141"/>
      <c r="BJ270" s="141"/>
      <c r="BK270" s="141"/>
      <c r="BL270" s="141"/>
      <c r="BM270" s="141"/>
    </row>
    <row r="271" spans="1:65" ht="16.5" customHeight="1" outlineLevel="2" x14ac:dyDescent="0.2">
      <c r="A271" s="133"/>
      <c r="B271" s="320" t="str">
        <f>$C$17</f>
        <v>Bureaux</v>
      </c>
      <c r="C271" s="299" t="s">
        <v>317</v>
      </c>
      <c r="D271" s="300"/>
      <c r="E271" s="290" t="s">
        <v>139</v>
      </c>
      <c r="F271" s="290" t="s">
        <v>139</v>
      </c>
      <c r="G271" s="302" t="s">
        <v>143</v>
      </c>
      <c r="H271" s="292"/>
      <c r="I271" s="292"/>
      <c r="J271" s="310"/>
      <c r="K271" s="176"/>
      <c r="L271" s="141"/>
      <c r="M271" s="141"/>
      <c r="N271" s="141"/>
      <c r="O271" s="141"/>
      <c r="P271" s="141"/>
      <c r="Q271" s="141"/>
      <c r="R271" s="141"/>
      <c r="S271" s="141"/>
      <c r="T271" s="141"/>
      <c r="U271" s="141"/>
      <c r="V271" s="141"/>
      <c r="W271" s="141"/>
      <c r="X271" s="141"/>
      <c r="Y271" s="141"/>
      <c r="Z271" s="141"/>
      <c r="AA271" s="141"/>
      <c r="AB271" s="141"/>
      <c r="AC271" s="141"/>
      <c r="AD271" s="141"/>
      <c r="AE271" s="141"/>
      <c r="AF271" s="141"/>
      <c r="AG271" s="141"/>
      <c r="AH271" s="141"/>
      <c r="AI271" s="141"/>
      <c r="AJ271" s="141"/>
      <c r="AK271" s="141"/>
      <c r="AL271" s="141"/>
      <c r="AM271" s="141"/>
      <c r="AN271" s="141"/>
      <c r="AO271" s="141"/>
      <c r="AP271" s="141"/>
      <c r="AQ271" s="141"/>
      <c r="AR271" s="141"/>
      <c r="AS271" s="141"/>
      <c r="AT271" s="141"/>
      <c r="AU271" s="141"/>
      <c r="AV271" s="141"/>
      <c r="AW271" s="141"/>
      <c r="AX271" s="141"/>
      <c r="AY271" s="141"/>
      <c r="AZ271" s="141"/>
      <c r="BA271" s="141"/>
      <c r="BB271" s="141"/>
      <c r="BC271" s="141"/>
      <c r="BD271" s="141"/>
      <c r="BE271" s="141"/>
      <c r="BF271" s="141"/>
      <c r="BG271" s="141"/>
      <c r="BH271" s="141"/>
      <c r="BI271" s="141"/>
      <c r="BJ271" s="141"/>
      <c r="BK271" s="141"/>
      <c r="BL271" s="141"/>
      <c r="BM271" s="141"/>
    </row>
    <row r="272" spans="1:65" ht="16.5" customHeight="1" outlineLevel="2" x14ac:dyDescent="0.2">
      <c r="A272" s="133"/>
      <c r="B272" s="323"/>
      <c r="C272" s="295" t="s">
        <v>257</v>
      </c>
      <c r="D272" s="296"/>
      <c r="E272" s="297">
        <f>E15*Données!D597+E17*IF($B271=Données!$A599,VLOOKUP(E271,Données!$B$600:$G$602,3,FALSE()),IF($B271=Données!$A603,VLOOKUP(E271,Données!$B$604:$G$606,3,FALSE()),IF($B271=Données!$A607,VLOOKUP(E271,Données!$B$608:$G$610,3,FALSE()),VLOOKUP(E271,Données!$B$612:$G$614,3,FALSE()))))</f>
        <v>0</v>
      </c>
      <c r="F272" s="297">
        <f>F15*Données!E597+F17*IF($B271=Données!$A599,VLOOKUP(F271,Données!$B$600:$G$602,5,FALSE()),IF($B271=Données!$A603,VLOOKUP(F271,Données!$B$604:$G$606,5,FALSE()),IF($B271=Données!$A607,VLOOKUP(F271,Données!$B$608:$G$610,5,FALSE()),VLOOKUP(F271,Données!$B$612:$G$614,5,FALSE()))))</f>
        <v>0</v>
      </c>
      <c r="G272" s="291" t="s">
        <v>258</v>
      </c>
      <c r="H272" s="292">
        <f>E272*Données!$D615</f>
        <v>0</v>
      </c>
      <c r="I272" s="292">
        <f>F272*Données!$D615</f>
        <v>0</v>
      </c>
      <c r="J272" s="310"/>
      <c r="K272" s="176"/>
      <c r="L272" s="141"/>
      <c r="M272" s="141"/>
      <c r="N272" s="141"/>
      <c r="O272" s="141"/>
      <c r="P272" s="141"/>
      <c r="Q272" s="141"/>
      <c r="R272" s="141"/>
      <c r="S272" s="141"/>
      <c r="T272" s="141"/>
      <c r="U272" s="141"/>
      <c r="V272" s="141"/>
      <c r="W272" s="141"/>
      <c r="X272" s="141"/>
      <c r="Y272" s="141"/>
      <c r="Z272" s="141"/>
      <c r="AA272" s="141"/>
      <c r="AB272" s="141"/>
      <c r="AC272" s="141"/>
      <c r="AD272" s="141"/>
      <c r="AE272" s="141"/>
      <c r="AF272" s="141"/>
      <c r="AG272" s="141"/>
      <c r="AH272" s="141"/>
      <c r="AI272" s="141"/>
      <c r="AJ272" s="141"/>
      <c r="AK272" s="141"/>
      <c r="AL272" s="141"/>
      <c r="AM272" s="141"/>
      <c r="AN272" s="141"/>
      <c r="AO272" s="141"/>
      <c r="AP272" s="141"/>
      <c r="AQ272" s="141"/>
      <c r="AR272" s="141"/>
      <c r="AS272" s="141"/>
      <c r="AT272" s="141"/>
      <c r="AU272" s="141"/>
      <c r="AV272" s="141"/>
      <c r="AW272" s="141"/>
      <c r="AX272" s="141"/>
      <c r="AY272" s="141"/>
      <c r="AZ272" s="141"/>
      <c r="BA272" s="141"/>
      <c r="BB272" s="141"/>
      <c r="BC272" s="141"/>
      <c r="BD272" s="141"/>
      <c r="BE272" s="141"/>
      <c r="BF272" s="141"/>
      <c r="BG272" s="141"/>
      <c r="BH272" s="141"/>
      <c r="BI272" s="141"/>
      <c r="BJ272" s="141"/>
      <c r="BK272" s="141"/>
      <c r="BL272" s="141"/>
      <c r="BM272" s="141"/>
    </row>
    <row r="273" spans="1:65" ht="16.5" customHeight="1" outlineLevel="2" x14ac:dyDescent="0.2">
      <c r="A273" s="133"/>
      <c r="B273" s="324"/>
      <c r="C273" s="299" t="s">
        <v>259</v>
      </c>
      <c r="D273" s="300"/>
      <c r="E273" s="301" t="e">
        <f>E272/E$18</f>
        <v>#DIV/0!</v>
      </c>
      <c r="F273" s="301" t="e">
        <f>F272/F$18</f>
        <v>#DIV/0!</v>
      </c>
      <c r="G273" s="302" t="s">
        <v>260</v>
      </c>
      <c r="H273" s="292"/>
      <c r="I273" s="292"/>
      <c r="J273" s="310"/>
      <c r="K273" s="176"/>
      <c r="L273" s="141"/>
      <c r="M273" s="141"/>
      <c r="N273" s="141"/>
      <c r="O273" s="141"/>
      <c r="P273" s="141"/>
      <c r="Q273" s="141"/>
      <c r="R273" s="141"/>
      <c r="S273" s="141"/>
      <c r="T273" s="141"/>
      <c r="U273" s="141"/>
      <c r="V273" s="141"/>
      <c r="W273" s="141"/>
      <c r="X273" s="141"/>
      <c r="Y273" s="141"/>
      <c r="Z273" s="141"/>
      <c r="AA273" s="141"/>
      <c r="AB273" s="141"/>
      <c r="AC273" s="141"/>
      <c r="AD273" s="141"/>
      <c r="AE273" s="141"/>
      <c r="AF273" s="141"/>
      <c r="AG273" s="141"/>
      <c r="AH273" s="141"/>
      <c r="AI273" s="141"/>
      <c r="AJ273" s="141"/>
      <c r="AK273" s="141"/>
      <c r="AL273" s="141"/>
      <c r="AM273" s="141"/>
      <c r="AN273" s="141"/>
      <c r="AO273" s="141"/>
      <c r="AP273" s="141"/>
      <c r="AQ273" s="141"/>
      <c r="AR273" s="141"/>
      <c r="AS273" s="141"/>
      <c r="AT273" s="141"/>
      <c r="AU273" s="141"/>
      <c r="AV273" s="141"/>
      <c r="AW273" s="141"/>
      <c r="AX273" s="141"/>
      <c r="AY273" s="141"/>
      <c r="AZ273" s="141"/>
      <c r="BA273" s="141"/>
      <c r="BB273" s="141"/>
      <c r="BC273" s="141"/>
      <c r="BD273" s="141"/>
      <c r="BE273" s="141"/>
      <c r="BF273" s="141"/>
      <c r="BG273" s="141"/>
      <c r="BH273" s="141"/>
      <c r="BI273" s="141"/>
      <c r="BJ273" s="141"/>
      <c r="BK273" s="141"/>
      <c r="BL273" s="141"/>
      <c r="BM273" s="141"/>
    </row>
    <row r="274" spans="1:65" ht="13.5" outlineLevel="1" x14ac:dyDescent="0.2">
      <c r="A274" s="133"/>
      <c r="B274" s="216"/>
      <c r="C274" s="171"/>
      <c r="D274" s="178"/>
      <c r="E274" s="179"/>
      <c r="F274" s="303"/>
      <c r="G274" s="304"/>
      <c r="H274" s="144"/>
      <c r="I274" s="144"/>
      <c r="J274" s="163"/>
      <c r="K274" s="144"/>
      <c r="L274" s="141"/>
      <c r="M274" s="141"/>
      <c r="N274" s="141"/>
      <c r="O274" s="141"/>
      <c r="P274" s="141"/>
      <c r="Q274" s="141"/>
      <c r="R274" s="141"/>
      <c r="S274" s="141"/>
      <c r="T274" s="141"/>
      <c r="U274" s="141"/>
      <c r="V274" s="141"/>
      <c r="W274" s="141"/>
      <c r="X274" s="141"/>
      <c r="Y274" s="141"/>
      <c r="Z274" s="141"/>
      <c r="AA274" s="141"/>
      <c r="AB274" s="141"/>
      <c r="AC274" s="141"/>
      <c r="AD274" s="141"/>
      <c r="AE274" s="141"/>
      <c r="AF274" s="141"/>
      <c r="AG274" s="141"/>
      <c r="AH274" s="141"/>
      <c r="AI274" s="141"/>
      <c r="AJ274" s="141"/>
      <c r="AK274" s="141"/>
      <c r="AL274" s="141"/>
      <c r="AM274" s="141"/>
      <c r="AN274" s="141"/>
      <c r="AO274" s="141"/>
      <c r="AP274" s="141"/>
      <c r="AQ274" s="141"/>
      <c r="AR274" s="141"/>
      <c r="AS274" s="141"/>
      <c r="AT274" s="141"/>
      <c r="AU274" s="141"/>
      <c r="AV274" s="141"/>
      <c r="AW274" s="141"/>
      <c r="AX274" s="141"/>
      <c r="AY274" s="141"/>
      <c r="AZ274" s="141"/>
      <c r="BA274" s="141"/>
      <c r="BB274" s="141"/>
      <c r="BC274" s="141"/>
      <c r="BD274" s="141"/>
      <c r="BE274" s="141"/>
      <c r="BF274" s="141"/>
      <c r="BG274" s="141"/>
      <c r="BH274" s="141"/>
      <c r="BI274" s="141"/>
      <c r="BJ274" s="141"/>
      <c r="BK274" s="141"/>
      <c r="BL274" s="141"/>
      <c r="BM274" s="141"/>
    </row>
    <row r="275" spans="1:65" ht="16.5" customHeight="1" outlineLevel="1" x14ac:dyDescent="0.2">
      <c r="A275" s="133"/>
      <c r="B275" s="325" t="s">
        <v>318</v>
      </c>
      <c r="C275" s="273"/>
      <c r="D275" s="274" t="s">
        <v>319</v>
      </c>
      <c r="E275" s="277"/>
      <c r="F275" s="277"/>
      <c r="G275" s="305"/>
      <c r="H275" s="277"/>
      <c r="I275" s="277"/>
      <c r="J275" s="278"/>
      <c r="K275" s="279"/>
      <c r="L275" s="141"/>
      <c r="M275" s="141"/>
      <c r="N275" s="141"/>
      <c r="O275" s="141"/>
      <c r="P275" s="141"/>
      <c r="Q275" s="141"/>
      <c r="R275" s="141"/>
      <c r="S275" s="141"/>
      <c r="T275" s="141"/>
      <c r="U275" s="141"/>
      <c r="V275" s="141"/>
      <c r="W275" s="141"/>
      <c r="X275" s="141"/>
      <c r="Y275" s="141"/>
      <c r="Z275" s="141"/>
      <c r="AA275" s="141"/>
      <c r="AB275" s="141"/>
      <c r="AC275" s="141"/>
      <c r="AD275" s="141"/>
      <c r="AE275" s="141"/>
      <c r="AF275" s="141"/>
      <c r="AG275" s="141"/>
      <c r="AH275" s="141"/>
      <c r="AI275" s="141"/>
      <c r="AJ275" s="141"/>
      <c r="AK275" s="141"/>
      <c r="AL275" s="141"/>
      <c r="AM275" s="141"/>
      <c r="AN275" s="141"/>
      <c r="AO275" s="141"/>
      <c r="AP275" s="141"/>
      <c r="AQ275" s="141"/>
      <c r="AR275" s="141"/>
      <c r="AS275" s="141"/>
      <c r="AT275" s="141"/>
      <c r="AU275" s="141"/>
      <c r="AV275" s="141"/>
      <c r="AW275" s="141"/>
      <c r="AX275" s="141"/>
      <c r="AY275" s="141"/>
      <c r="AZ275" s="141"/>
      <c r="BA275" s="141"/>
      <c r="BB275" s="141"/>
      <c r="BC275" s="141"/>
      <c r="BD275" s="141"/>
      <c r="BE275" s="141"/>
      <c r="BF275" s="141"/>
      <c r="BG275" s="141"/>
      <c r="BH275" s="141"/>
      <c r="BI275" s="141"/>
      <c r="BJ275" s="141"/>
      <c r="BK275" s="141"/>
      <c r="BL275" s="141"/>
      <c r="BM275" s="141"/>
    </row>
    <row r="276" spans="1:65" ht="16.5" customHeight="1" outlineLevel="2" x14ac:dyDescent="0.2">
      <c r="A276" s="133"/>
      <c r="B276" s="322" t="s">
        <v>12</v>
      </c>
      <c r="C276" s="307" t="s">
        <v>320</v>
      </c>
      <c r="D276" s="308"/>
      <c r="E276" s="283" t="s">
        <v>139</v>
      </c>
      <c r="F276" s="283" t="s">
        <v>139</v>
      </c>
      <c r="G276" s="309" t="s">
        <v>143</v>
      </c>
      <c r="H276" s="285"/>
      <c r="I276" s="285"/>
      <c r="J276" s="316"/>
      <c r="K276" s="203"/>
      <c r="L276" s="141"/>
      <c r="M276" s="141"/>
      <c r="N276" s="141"/>
      <c r="O276" s="141"/>
      <c r="P276" s="141"/>
      <c r="Q276" s="141"/>
      <c r="R276" s="141"/>
      <c r="S276" s="141"/>
      <c r="T276" s="141"/>
      <c r="U276" s="141"/>
      <c r="V276" s="141"/>
      <c r="W276" s="141"/>
      <c r="X276" s="141"/>
      <c r="Y276" s="141"/>
      <c r="Z276" s="141"/>
      <c r="AA276" s="141"/>
      <c r="AB276" s="141"/>
      <c r="AC276" s="141"/>
      <c r="AD276" s="141"/>
      <c r="AE276" s="141"/>
      <c r="AF276" s="141"/>
      <c r="AG276" s="141"/>
      <c r="AH276" s="141"/>
      <c r="AI276" s="141"/>
      <c r="AJ276" s="141"/>
      <c r="AK276" s="141"/>
      <c r="AL276" s="141"/>
      <c r="AM276" s="141"/>
      <c r="AN276" s="141"/>
      <c r="AO276" s="141"/>
      <c r="AP276" s="141"/>
      <c r="AQ276" s="141"/>
      <c r="AR276" s="141"/>
      <c r="AS276" s="141"/>
      <c r="AT276" s="141"/>
      <c r="AU276" s="141"/>
      <c r="AV276" s="141"/>
      <c r="AW276" s="141"/>
      <c r="AX276" s="141"/>
      <c r="AY276" s="141"/>
      <c r="AZ276" s="141"/>
      <c r="BA276" s="141"/>
      <c r="BB276" s="141"/>
      <c r="BC276" s="141"/>
      <c r="BD276" s="141"/>
      <c r="BE276" s="141"/>
      <c r="BF276" s="141"/>
      <c r="BG276" s="141"/>
      <c r="BH276" s="141"/>
      <c r="BI276" s="141"/>
      <c r="BJ276" s="141"/>
      <c r="BK276" s="141"/>
      <c r="BL276" s="141"/>
      <c r="BM276" s="141"/>
    </row>
    <row r="277" spans="1:65" ht="16.5" customHeight="1" outlineLevel="2" x14ac:dyDescent="0.2">
      <c r="A277" s="133"/>
      <c r="B277" s="320" t="str">
        <f>$C$17</f>
        <v>Bureaux</v>
      </c>
      <c r="C277" s="299" t="s">
        <v>320</v>
      </c>
      <c r="D277" s="300"/>
      <c r="E277" s="290" t="s">
        <v>139</v>
      </c>
      <c r="F277" s="290" t="s">
        <v>139</v>
      </c>
      <c r="G277" s="302" t="s">
        <v>143</v>
      </c>
      <c r="H277" s="292"/>
      <c r="I277" s="292"/>
      <c r="J277" s="310"/>
      <c r="K277" s="176"/>
      <c r="L277" s="141"/>
      <c r="M277" s="141"/>
      <c r="N277" s="141"/>
      <c r="O277" s="141"/>
      <c r="P277" s="141"/>
      <c r="Q277" s="141"/>
      <c r="R277" s="141"/>
      <c r="S277" s="141"/>
      <c r="T277" s="141"/>
      <c r="U277" s="141"/>
      <c r="V277" s="141"/>
      <c r="W277" s="141"/>
      <c r="X277" s="141"/>
      <c r="Y277" s="141"/>
      <c r="Z277" s="141"/>
      <c r="AA277" s="141"/>
      <c r="AB277" s="141"/>
      <c r="AC277" s="141"/>
      <c r="AD277" s="141"/>
      <c r="AE277" s="141"/>
      <c r="AF277" s="141"/>
      <c r="AG277" s="141"/>
      <c r="AH277" s="141"/>
      <c r="AI277" s="141"/>
      <c r="AJ277" s="141"/>
      <c r="AK277" s="141"/>
      <c r="AL277" s="141"/>
      <c r="AM277" s="141"/>
      <c r="AN277" s="141"/>
      <c r="AO277" s="141"/>
      <c r="AP277" s="141"/>
      <c r="AQ277" s="141"/>
      <c r="AR277" s="141"/>
      <c r="AS277" s="141"/>
      <c r="AT277" s="141"/>
      <c r="AU277" s="141"/>
      <c r="AV277" s="141"/>
      <c r="AW277" s="141"/>
      <c r="AX277" s="141"/>
      <c r="AY277" s="141"/>
      <c r="AZ277" s="141"/>
      <c r="BA277" s="141"/>
      <c r="BB277" s="141"/>
      <c r="BC277" s="141"/>
      <c r="BD277" s="141"/>
      <c r="BE277" s="141"/>
      <c r="BF277" s="141"/>
      <c r="BG277" s="141"/>
      <c r="BH277" s="141"/>
      <c r="BI277" s="141"/>
      <c r="BJ277" s="141"/>
      <c r="BK277" s="141"/>
      <c r="BL277" s="141"/>
      <c r="BM277" s="141"/>
    </row>
    <row r="278" spans="1:65" ht="16.5" customHeight="1" outlineLevel="2" x14ac:dyDescent="0.2">
      <c r="A278" s="133"/>
      <c r="B278" s="323"/>
      <c r="C278" s="295" t="s">
        <v>257</v>
      </c>
      <c r="D278" s="296"/>
      <c r="E278" s="297">
        <f>E15*VLOOKUP(E276,Données!$B$618:$G$624,3,FALSE())+E17*(IF($B277=Données!$A626,VLOOKUP(E277,Données!$B$627:$G$633,3,FALSE()),IF($B277=Données!$A634,VLOOKUP(E277,Données!$B$635:$G$641,3,FALSE()),IF($B277=Données!$A642,VLOOKUP(E276,Données!$B$643:$G$649,3,FALSE()),VLOOKUP(E276,Données!$B$651:$G$657,3,FALSE())))))</f>
        <v>0</v>
      </c>
      <c r="F278" s="297">
        <f>F15*VLOOKUP(F276,Données!$B$618:$G$624,5,FALSE())+F17*(IF($B277=Données!$A626,VLOOKUP(F277,Données!$B$627:$G$633,5,FALSE()),IF($B277=Données!$A634,VLOOKUP(F277,Données!$B$635:$G$641,5,FALSE()),IF($B277=Données!$A642,VLOOKUP(F276,Données!$B$643:$G$649,5,FALSE()),VLOOKUP(F276,Données!$B$651:$G$657,5,FALSE())))))</f>
        <v>0</v>
      </c>
      <c r="G278" s="328" t="s">
        <v>321</v>
      </c>
      <c r="H278" s="292">
        <f>E278*Données!$D658</f>
        <v>0</v>
      </c>
      <c r="I278" s="292">
        <f>F278*Données!$D658</f>
        <v>0</v>
      </c>
      <c r="J278" s="310"/>
      <c r="K278" s="176"/>
      <c r="L278" s="141"/>
      <c r="M278" s="141"/>
      <c r="N278" s="141"/>
      <c r="O278" s="141"/>
      <c r="P278" s="141"/>
      <c r="Q278" s="141"/>
      <c r="R278" s="141"/>
      <c r="S278" s="141"/>
      <c r="T278" s="141"/>
      <c r="U278" s="141"/>
      <c r="V278" s="141"/>
      <c r="W278" s="141"/>
      <c r="X278" s="141"/>
      <c r="Y278" s="141"/>
      <c r="Z278" s="141"/>
      <c r="AA278" s="141"/>
      <c r="AB278" s="141"/>
      <c r="AC278" s="141"/>
      <c r="AD278" s="141"/>
      <c r="AE278" s="141"/>
      <c r="AF278" s="141"/>
      <c r="AG278" s="141"/>
      <c r="AH278" s="141"/>
      <c r="AI278" s="141"/>
      <c r="AJ278" s="141"/>
      <c r="AK278" s="141"/>
      <c r="AL278" s="141"/>
      <c r="AM278" s="141"/>
      <c r="AN278" s="141"/>
      <c r="AO278" s="141"/>
      <c r="AP278" s="141"/>
      <c r="AQ278" s="141"/>
      <c r="AR278" s="141"/>
      <c r="AS278" s="141"/>
      <c r="AT278" s="141"/>
      <c r="AU278" s="141"/>
      <c r="AV278" s="141"/>
      <c r="AW278" s="141"/>
      <c r="AX278" s="141"/>
      <c r="AY278" s="141"/>
      <c r="AZ278" s="141"/>
      <c r="BA278" s="141"/>
      <c r="BB278" s="141"/>
      <c r="BC278" s="141"/>
      <c r="BD278" s="141"/>
      <c r="BE278" s="141"/>
      <c r="BF278" s="141"/>
      <c r="BG278" s="141"/>
      <c r="BH278" s="141"/>
      <c r="BI278" s="141"/>
      <c r="BJ278" s="141"/>
      <c r="BK278" s="141"/>
      <c r="BL278" s="141"/>
      <c r="BM278" s="141"/>
    </row>
    <row r="279" spans="1:65" ht="13.5" outlineLevel="1" x14ac:dyDescent="0.2">
      <c r="A279" s="133"/>
      <c r="B279" s="171"/>
      <c r="C279" s="171"/>
      <c r="D279" s="178"/>
      <c r="E279" s="179"/>
      <c r="F279" s="303"/>
      <c r="G279" s="304"/>
      <c r="H279" s="144"/>
      <c r="I279" s="144"/>
      <c r="J279" s="163"/>
      <c r="K279" s="144"/>
      <c r="L279" s="141"/>
      <c r="M279" s="141"/>
      <c r="N279" s="141"/>
      <c r="O279" s="141"/>
      <c r="P279" s="141"/>
      <c r="Q279" s="141"/>
      <c r="R279" s="141"/>
      <c r="S279" s="141"/>
      <c r="T279" s="141"/>
      <c r="U279" s="141"/>
      <c r="V279" s="141"/>
      <c r="W279" s="141"/>
      <c r="X279" s="141"/>
      <c r="Y279" s="141"/>
      <c r="Z279" s="141"/>
      <c r="AA279" s="141"/>
      <c r="AB279" s="141"/>
      <c r="AC279" s="141"/>
      <c r="AD279" s="141"/>
      <c r="AE279" s="141"/>
      <c r="AF279" s="141"/>
      <c r="AG279" s="141"/>
      <c r="AH279" s="141"/>
      <c r="AI279" s="141"/>
      <c r="AJ279" s="141"/>
      <c r="AK279" s="141"/>
      <c r="AL279" s="141"/>
      <c r="AM279" s="141"/>
      <c r="AN279" s="141"/>
      <c r="AO279" s="141"/>
      <c r="AP279" s="141"/>
      <c r="AQ279" s="141"/>
      <c r="AR279" s="141"/>
      <c r="AS279" s="141"/>
      <c r="AT279" s="141"/>
      <c r="AU279" s="141"/>
      <c r="AV279" s="141"/>
      <c r="AW279" s="141"/>
      <c r="AX279" s="141"/>
      <c r="AY279" s="141"/>
      <c r="AZ279" s="141"/>
      <c r="BA279" s="141"/>
      <c r="BB279" s="141"/>
      <c r="BC279" s="141"/>
      <c r="BD279" s="141"/>
      <c r="BE279" s="141"/>
      <c r="BF279" s="141"/>
      <c r="BG279" s="141"/>
      <c r="BH279" s="141"/>
      <c r="BI279" s="141"/>
      <c r="BJ279" s="141"/>
      <c r="BK279" s="141"/>
      <c r="BL279" s="141"/>
      <c r="BM279" s="141"/>
    </row>
    <row r="280" spans="1:65" ht="16.5" customHeight="1" outlineLevel="1" x14ac:dyDescent="0.2">
      <c r="A280" s="133"/>
      <c r="B280" s="325" t="s">
        <v>322</v>
      </c>
      <c r="C280" s="273"/>
      <c r="D280" s="274" t="s">
        <v>323</v>
      </c>
      <c r="E280" s="277"/>
      <c r="F280" s="277"/>
      <c r="G280" s="305"/>
      <c r="H280" s="277"/>
      <c r="I280" s="277"/>
      <c r="J280" s="278"/>
      <c r="K280" s="279"/>
      <c r="L280" s="141"/>
      <c r="M280" s="141"/>
      <c r="N280" s="141"/>
      <c r="O280" s="141"/>
      <c r="P280" s="141"/>
      <c r="Q280" s="141"/>
      <c r="R280" s="141"/>
      <c r="S280" s="141"/>
      <c r="T280" s="141"/>
      <c r="U280" s="141"/>
      <c r="V280" s="141"/>
      <c r="W280" s="141"/>
      <c r="X280" s="141"/>
      <c r="Y280" s="141"/>
      <c r="Z280" s="141"/>
      <c r="AA280" s="141"/>
      <c r="AB280" s="141"/>
      <c r="AC280" s="141"/>
      <c r="AD280" s="141"/>
      <c r="AE280" s="141"/>
      <c r="AF280" s="141"/>
      <c r="AG280" s="141"/>
      <c r="AH280" s="141"/>
      <c r="AI280" s="141"/>
      <c r="AJ280" s="141"/>
      <c r="AK280" s="141"/>
      <c r="AL280" s="141"/>
      <c r="AM280" s="141"/>
      <c r="AN280" s="141"/>
      <c r="AO280" s="141"/>
      <c r="AP280" s="141"/>
      <c r="AQ280" s="141"/>
      <c r="AR280" s="141"/>
      <c r="AS280" s="141"/>
      <c r="AT280" s="141"/>
      <c r="AU280" s="141"/>
      <c r="AV280" s="141"/>
      <c r="AW280" s="141"/>
      <c r="AX280" s="141"/>
      <c r="AY280" s="141"/>
      <c r="AZ280" s="141"/>
      <c r="BA280" s="141"/>
      <c r="BB280" s="141"/>
      <c r="BC280" s="141"/>
      <c r="BD280" s="141"/>
      <c r="BE280" s="141"/>
      <c r="BF280" s="141"/>
      <c r="BG280" s="141"/>
      <c r="BH280" s="141"/>
      <c r="BI280" s="141"/>
      <c r="BJ280" s="141"/>
      <c r="BK280" s="141"/>
      <c r="BL280" s="141"/>
      <c r="BM280" s="141"/>
    </row>
    <row r="281" spans="1:65" ht="16.5" customHeight="1" outlineLevel="2" x14ac:dyDescent="0.2">
      <c r="A281" s="133"/>
      <c r="B281" s="322" t="str">
        <f>IF(PROJET!$E$9=0,"Tertiaire",$C$17)</f>
        <v>Tertiaire</v>
      </c>
      <c r="C281" s="307" t="s">
        <v>324</v>
      </c>
      <c r="D281" s="308"/>
      <c r="E281" s="283">
        <v>0</v>
      </c>
      <c r="F281" s="283">
        <v>0</v>
      </c>
      <c r="G281" s="329" t="s">
        <v>106</v>
      </c>
      <c r="H281" s="285"/>
      <c r="I281" s="285"/>
      <c r="J281" s="310"/>
      <c r="K281" s="203"/>
      <c r="L281" s="141"/>
      <c r="M281" s="141"/>
      <c r="N281" s="141"/>
      <c r="O281" s="141"/>
      <c r="P281" s="141"/>
      <c r="Q281" s="141"/>
      <c r="R281" s="141"/>
      <c r="S281" s="141"/>
      <c r="T281" s="141"/>
      <c r="U281" s="141"/>
      <c r="V281" s="141"/>
      <c r="W281" s="141"/>
      <c r="X281" s="141"/>
      <c r="Y281" s="141"/>
      <c r="Z281" s="141"/>
      <c r="AA281" s="141"/>
      <c r="AB281" s="141"/>
      <c r="AC281" s="141"/>
      <c r="AD281" s="141"/>
      <c r="AE281" s="141"/>
      <c r="AF281" s="141"/>
      <c r="AG281" s="141"/>
      <c r="AH281" s="141"/>
      <c r="AI281" s="141"/>
      <c r="AJ281" s="141"/>
      <c r="AK281" s="141"/>
      <c r="AL281" s="141"/>
      <c r="AM281" s="141"/>
      <c r="AN281" s="141"/>
      <c r="AO281" s="141"/>
      <c r="AP281" s="141"/>
      <c r="AQ281" s="141"/>
      <c r="AR281" s="141"/>
      <c r="AS281" s="141"/>
      <c r="AT281" s="141"/>
      <c r="AU281" s="141"/>
      <c r="AV281" s="141"/>
      <c r="AW281" s="141"/>
      <c r="AX281" s="141"/>
      <c r="AY281" s="141"/>
      <c r="AZ281" s="141"/>
      <c r="BA281" s="141"/>
      <c r="BB281" s="141"/>
      <c r="BC281" s="141"/>
      <c r="BD281" s="141"/>
      <c r="BE281" s="141"/>
      <c r="BF281" s="141"/>
      <c r="BG281" s="141"/>
      <c r="BH281" s="141"/>
      <c r="BI281" s="141"/>
      <c r="BJ281" s="141"/>
      <c r="BK281" s="141"/>
      <c r="BL281" s="141"/>
      <c r="BM281" s="141"/>
    </row>
    <row r="282" spans="1:65" ht="16.5" customHeight="1" outlineLevel="2" x14ac:dyDescent="0.2">
      <c r="A282" s="133"/>
      <c r="B282" s="322"/>
      <c r="C282" s="299" t="s">
        <v>325</v>
      </c>
      <c r="D282" s="300"/>
      <c r="E282" s="290">
        <v>0</v>
      </c>
      <c r="F282" s="290">
        <v>0</v>
      </c>
      <c r="G282" s="291" t="s">
        <v>106</v>
      </c>
      <c r="H282" s="292"/>
      <c r="I282" s="292"/>
      <c r="J282" s="310"/>
      <c r="K282" s="176"/>
      <c r="L282" s="141"/>
      <c r="M282" s="141"/>
      <c r="N282" s="141"/>
      <c r="O282" s="141"/>
      <c r="P282" s="141"/>
      <c r="Q282" s="141"/>
      <c r="R282" s="141"/>
      <c r="S282" s="141"/>
      <c r="T282" s="141"/>
      <c r="U282" s="141"/>
      <c r="V282" s="141"/>
      <c r="W282" s="141"/>
      <c r="X282" s="141"/>
      <c r="Y282" s="141"/>
      <c r="Z282" s="141"/>
      <c r="AA282" s="141"/>
      <c r="AB282" s="141"/>
      <c r="AC282" s="141"/>
      <c r="AD282" s="141"/>
      <c r="AE282" s="141"/>
      <c r="AF282" s="141"/>
      <c r="AG282" s="141"/>
      <c r="AH282" s="141"/>
      <c r="AI282" s="141"/>
      <c r="AJ282" s="141"/>
      <c r="AK282" s="141"/>
      <c r="AL282" s="141"/>
      <c r="AM282" s="141"/>
      <c r="AN282" s="141"/>
      <c r="AO282" s="141"/>
      <c r="AP282" s="141"/>
      <c r="AQ282" s="141"/>
      <c r="AR282" s="141"/>
      <c r="AS282" s="141"/>
      <c r="AT282" s="141"/>
      <c r="AU282" s="141"/>
      <c r="AV282" s="141"/>
      <c r="AW282" s="141"/>
      <c r="AX282" s="141"/>
      <c r="AY282" s="141"/>
      <c r="AZ282" s="141"/>
      <c r="BA282" s="141"/>
      <c r="BB282" s="141"/>
      <c r="BC282" s="141"/>
      <c r="BD282" s="141"/>
      <c r="BE282" s="141"/>
      <c r="BF282" s="141"/>
      <c r="BG282" s="141"/>
      <c r="BH282" s="141"/>
      <c r="BI282" s="141"/>
      <c r="BJ282" s="141"/>
      <c r="BK282" s="141"/>
      <c r="BL282" s="141"/>
      <c r="BM282" s="141"/>
    </row>
    <row r="283" spans="1:65" ht="16.5" customHeight="1" outlineLevel="2" x14ac:dyDescent="0.2">
      <c r="A283" s="133"/>
      <c r="B283" s="322"/>
      <c r="C283" s="299" t="s">
        <v>326</v>
      </c>
      <c r="D283" s="300"/>
      <c r="E283" s="290" t="s">
        <v>139</v>
      </c>
      <c r="F283" s="290" t="s">
        <v>139</v>
      </c>
      <c r="G283" s="302" t="s">
        <v>143</v>
      </c>
      <c r="H283" s="292"/>
      <c r="I283" s="292"/>
      <c r="J283" s="310"/>
      <c r="K283" s="176"/>
      <c r="L283" s="141"/>
      <c r="M283" s="141"/>
      <c r="N283" s="141"/>
      <c r="O283" s="141"/>
      <c r="P283" s="141"/>
      <c r="Q283" s="141"/>
      <c r="R283" s="141"/>
      <c r="S283" s="141"/>
      <c r="T283" s="141"/>
      <c r="U283" s="141"/>
      <c r="V283" s="141"/>
      <c r="W283" s="141"/>
      <c r="X283" s="141"/>
      <c r="Y283" s="141"/>
      <c r="Z283" s="141"/>
      <c r="AA283" s="141"/>
      <c r="AB283" s="141"/>
      <c r="AC283" s="141"/>
      <c r="AD283" s="141"/>
      <c r="AE283" s="141"/>
      <c r="AF283" s="141"/>
      <c r="AG283" s="141"/>
      <c r="AH283" s="141"/>
      <c r="AI283" s="141"/>
      <c r="AJ283" s="141"/>
      <c r="AK283" s="141"/>
      <c r="AL283" s="141"/>
      <c r="AM283" s="141"/>
      <c r="AN283" s="141"/>
      <c r="AO283" s="141"/>
      <c r="AP283" s="141"/>
      <c r="AQ283" s="141"/>
      <c r="AR283" s="141"/>
      <c r="AS283" s="141"/>
      <c r="AT283" s="141"/>
      <c r="AU283" s="141"/>
      <c r="AV283" s="141"/>
      <c r="AW283" s="141"/>
      <c r="AX283" s="141"/>
      <c r="AY283" s="141"/>
      <c r="AZ283" s="141"/>
      <c r="BA283" s="141"/>
      <c r="BB283" s="141"/>
      <c r="BC283" s="141"/>
      <c r="BD283" s="141"/>
      <c r="BE283" s="141"/>
      <c r="BF283" s="141"/>
      <c r="BG283" s="141"/>
      <c r="BH283" s="141"/>
      <c r="BI283" s="141"/>
      <c r="BJ283" s="141"/>
      <c r="BK283" s="141"/>
      <c r="BL283" s="141"/>
      <c r="BM283" s="141"/>
    </row>
    <row r="284" spans="1:65" ht="16.5" customHeight="1" outlineLevel="2" x14ac:dyDescent="0.2">
      <c r="A284" s="133"/>
      <c r="B284" s="322"/>
      <c r="C284" s="299" t="s">
        <v>327</v>
      </c>
      <c r="D284" s="300"/>
      <c r="E284" s="290">
        <v>0</v>
      </c>
      <c r="F284" s="290">
        <v>0</v>
      </c>
      <c r="G284" s="293" t="s">
        <v>167</v>
      </c>
      <c r="H284" s="292"/>
      <c r="I284" s="292"/>
      <c r="J284" s="310"/>
      <c r="K284" s="176"/>
      <c r="L284" s="141"/>
      <c r="M284" s="141"/>
      <c r="N284" s="141"/>
      <c r="O284" s="141"/>
      <c r="P284" s="141"/>
      <c r="Q284" s="141"/>
      <c r="R284" s="141"/>
      <c r="S284" s="141"/>
      <c r="T284" s="141"/>
      <c r="U284" s="141"/>
      <c r="V284" s="141"/>
      <c r="W284" s="141"/>
      <c r="X284" s="141"/>
      <c r="Y284" s="141"/>
      <c r="Z284" s="141"/>
      <c r="AA284" s="141"/>
      <c r="AB284" s="141"/>
      <c r="AC284" s="141"/>
      <c r="AD284" s="141"/>
      <c r="AE284" s="141"/>
      <c r="AF284" s="141"/>
      <c r="AG284" s="141"/>
      <c r="AH284" s="141"/>
      <c r="AI284" s="141"/>
      <c r="AJ284" s="141"/>
      <c r="AK284" s="141"/>
      <c r="AL284" s="141"/>
      <c r="AM284" s="141"/>
      <c r="AN284" s="141"/>
      <c r="AO284" s="141"/>
      <c r="AP284" s="141"/>
      <c r="AQ284" s="141"/>
      <c r="AR284" s="141"/>
      <c r="AS284" s="141"/>
      <c r="AT284" s="141"/>
      <c r="AU284" s="141"/>
      <c r="AV284" s="141"/>
      <c r="AW284" s="141"/>
      <c r="AX284" s="141"/>
      <c r="AY284" s="141"/>
      <c r="AZ284" s="141"/>
      <c r="BA284" s="141"/>
      <c r="BB284" s="141"/>
      <c r="BC284" s="141"/>
      <c r="BD284" s="141"/>
      <c r="BE284" s="141"/>
      <c r="BF284" s="141"/>
      <c r="BG284" s="141"/>
      <c r="BH284" s="141"/>
      <c r="BI284" s="141"/>
      <c r="BJ284" s="141"/>
      <c r="BK284" s="141"/>
      <c r="BL284" s="141"/>
      <c r="BM284" s="141"/>
    </row>
    <row r="285" spans="1:65" ht="16.5" customHeight="1" outlineLevel="2" x14ac:dyDescent="0.2">
      <c r="A285" s="133"/>
      <c r="B285" s="322"/>
      <c r="C285" s="299" t="s">
        <v>326</v>
      </c>
      <c r="D285" s="300"/>
      <c r="E285" s="290" t="s">
        <v>139</v>
      </c>
      <c r="F285" s="290" t="s">
        <v>139</v>
      </c>
      <c r="G285" s="302" t="s">
        <v>143</v>
      </c>
      <c r="H285" s="292"/>
      <c r="I285" s="292"/>
      <c r="J285" s="310"/>
      <c r="K285" s="176"/>
      <c r="L285" s="141"/>
      <c r="M285" s="141"/>
      <c r="N285" s="141"/>
      <c r="O285" s="141"/>
      <c r="P285" s="141"/>
      <c r="Q285" s="141"/>
      <c r="R285" s="141"/>
      <c r="S285" s="141"/>
      <c r="T285" s="141"/>
      <c r="U285" s="141"/>
      <c r="V285" s="141"/>
      <c r="W285" s="141"/>
      <c r="X285" s="141"/>
      <c r="Y285" s="141"/>
      <c r="Z285" s="141"/>
      <c r="AA285" s="141"/>
      <c r="AB285" s="141"/>
      <c r="AC285" s="141"/>
      <c r="AD285" s="141"/>
      <c r="AE285" s="141"/>
      <c r="AF285" s="141"/>
      <c r="AG285" s="141"/>
      <c r="AH285" s="141"/>
      <c r="AI285" s="141"/>
      <c r="AJ285" s="141"/>
      <c r="AK285" s="141"/>
      <c r="AL285" s="141"/>
      <c r="AM285" s="141"/>
      <c r="AN285" s="141"/>
      <c r="AO285" s="141"/>
      <c r="AP285" s="141"/>
      <c r="AQ285" s="141"/>
      <c r="AR285" s="141"/>
      <c r="AS285" s="141"/>
      <c r="AT285" s="141"/>
      <c r="AU285" s="141"/>
      <c r="AV285" s="141"/>
      <c r="AW285" s="141"/>
      <c r="AX285" s="141"/>
      <c r="AY285" s="141"/>
      <c r="AZ285" s="141"/>
      <c r="BA285" s="141"/>
      <c r="BB285" s="141"/>
      <c r="BC285" s="141"/>
      <c r="BD285" s="141"/>
      <c r="BE285" s="141"/>
      <c r="BF285" s="141"/>
      <c r="BG285" s="141"/>
      <c r="BH285" s="141"/>
      <c r="BI285" s="141"/>
      <c r="BJ285" s="141"/>
      <c r="BK285" s="141"/>
      <c r="BL285" s="141"/>
      <c r="BM285" s="141"/>
    </row>
    <row r="286" spans="1:65" ht="16.5" customHeight="1" outlineLevel="2" x14ac:dyDescent="0.2">
      <c r="A286" s="133"/>
      <c r="B286" s="324"/>
      <c r="C286" s="295" t="s">
        <v>257</v>
      </c>
      <c r="D286" s="296"/>
      <c r="E286" s="297">
        <f>E281*VLOOKUP(E283,Données!$B$661:$G$664,3,FALSE())+E282*VLOOKUP(E283,Données!$B$665:$G$667,3,FALSE())+E284*VLOOKUP(E285,Données!$B$669:$G$673,3,FALSE())</f>
        <v>0</v>
      </c>
      <c r="F286" s="297">
        <f>F281*VLOOKUP(F283,Données!$B$661:$G$664,5,FALSE())+F282*VLOOKUP(F283,Données!$B$665:$G$668,5,FALSE())+F284*VLOOKUP(F285,Données!$B$669:$G$673,5,FALSE())</f>
        <v>0</v>
      </c>
      <c r="G286" s="302" t="s">
        <v>258</v>
      </c>
      <c r="H286" s="292">
        <f>E286*Données!$D674</f>
        <v>0</v>
      </c>
      <c r="I286" s="292">
        <f>F286*Données!$D674</f>
        <v>0</v>
      </c>
      <c r="J286" s="310"/>
      <c r="K286" s="176"/>
      <c r="L286" s="141"/>
      <c r="M286" s="141"/>
      <c r="N286" s="141"/>
      <c r="O286" s="141"/>
      <c r="P286" s="141"/>
      <c r="Q286" s="141"/>
      <c r="R286" s="141"/>
      <c r="S286" s="141"/>
      <c r="T286" s="141"/>
      <c r="U286" s="141"/>
      <c r="V286" s="141"/>
      <c r="W286" s="141"/>
      <c r="X286" s="141"/>
      <c r="Y286" s="141"/>
      <c r="Z286" s="141"/>
      <c r="AA286" s="141"/>
      <c r="AB286" s="141"/>
      <c r="AC286" s="141"/>
      <c r="AD286" s="141"/>
      <c r="AE286" s="141"/>
      <c r="AF286" s="141"/>
      <c r="AG286" s="141"/>
      <c r="AH286" s="141"/>
      <c r="AI286" s="141"/>
      <c r="AJ286" s="141"/>
      <c r="AK286" s="141"/>
      <c r="AL286" s="141"/>
      <c r="AM286" s="141"/>
      <c r="AN286" s="141"/>
      <c r="AO286" s="141"/>
      <c r="AP286" s="141"/>
      <c r="AQ286" s="141"/>
      <c r="AR286" s="141"/>
      <c r="AS286" s="141"/>
      <c r="AT286" s="141"/>
      <c r="AU286" s="141"/>
      <c r="AV286" s="141"/>
      <c r="AW286" s="141"/>
      <c r="AX286" s="141"/>
      <c r="AY286" s="141"/>
      <c r="AZ286" s="141"/>
      <c r="BA286" s="141"/>
      <c r="BB286" s="141"/>
      <c r="BC286" s="141"/>
      <c r="BD286" s="141"/>
      <c r="BE286" s="141"/>
      <c r="BF286" s="141"/>
      <c r="BG286" s="141"/>
      <c r="BH286" s="141"/>
      <c r="BI286" s="141"/>
      <c r="BJ286" s="141"/>
      <c r="BK286" s="141"/>
      <c r="BL286" s="141"/>
      <c r="BM286" s="141"/>
    </row>
    <row r="287" spans="1:65" ht="13.5" outlineLevel="1" x14ac:dyDescent="0.2">
      <c r="A287" s="133"/>
      <c r="B287" s="216"/>
      <c r="C287" s="171"/>
      <c r="D287" s="178"/>
      <c r="E287" s="179"/>
      <c r="F287" s="303"/>
      <c r="G287" s="304"/>
      <c r="H287" s="144"/>
      <c r="I287" s="144"/>
      <c r="J287" s="163"/>
      <c r="K287" s="144"/>
      <c r="L287" s="141"/>
      <c r="M287" s="141"/>
      <c r="N287" s="141"/>
      <c r="O287" s="141"/>
      <c r="P287" s="141"/>
      <c r="Q287" s="141"/>
      <c r="R287" s="141"/>
      <c r="S287" s="141"/>
      <c r="T287" s="141"/>
      <c r="U287" s="141"/>
      <c r="V287" s="141"/>
      <c r="W287" s="141"/>
      <c r="X287" s="141"/>
      <c r="Y287" s="141"/>
      <c r="Z287" s="141"/>
      <c r="AA287" s="141"/>
      <c r="AB287" s="141"/>
      <c r="AC287" s="141"/>
      <c r="AD287" s="141"/>
      <c r="AE287" s="141"/>
      <c r="AF287" s="141"/>
      <c r="AG287" s="141"/>
      <c r="AH287" s="141"/>
      <c r="AI287" s="141"/>
      <c r="AJ287" s="141"/>
      <c r="AK287" s="141"/>
      <c r="AL287" s="141"/>
      <c r="AM287" s="141"/>
      <c r="AN287" s="141"/>
      <c r="AO287" s="141"/>
      <c r="AP287" s="141"/>
      <c r="AQ287" s="141"/>
      <c r="AR287" s="141"/>
      <c r="AS287" s="141"/>
      <c r="AT287" s="141"/>
      <c r="AU287" s="141"/>
      <c r="AV287" s="141"/>
      <c r="AW287" s="141"/>
      <c r="AX287" s="141"/>
      <c r="AY287" s="141"/>
      <c r="AZ287" s="141"/>
      <c r="BA287" s="141"/>
      <c r="BB287" s="141"/>
      <c r="BC287" s="141"/>
      <c r="BD287" s="141"/>
      <c r="BE287" s="141"/>
      <c r="BF287" s="141"/>
      <c r="BG287" s="141"/>
      <c r="BH287" s="141"/>
      <c r="BI287" s="141"/>
      <c r="BJ287" s="141"/>
      <c r="BK287" s="141"/>
      <c r="BL287" s="141"/>
      <c r="BM287" s="141"/>
    </row>
    <row r="288" spans="1:65" ht="16.5" customHeight="1" outlineLevel="1" x14ac:dyDescent="0.2">
      <c r="A288" s="133"/>
      <c r="B288" s="325" t="s">
        <v>328</v>
      </c>
      <c r="C288" s="330"/>
      <c r="D288" s="274" t="s">
        <v>329</v>
      </c>
      <c r="E288" s="275"/>
      <c r="F288" s="275"/>
      <c r="G288" s="331"/>
      <c r="H288" s="275"/>
      <c r="I288" s="275"/>
      <c r="J288" s="332"/>
      <c r="K288" s="333"/>
      <c r="L288" s="171"/>
      <c r="M288" s="171"/>
      <c r="N288" s="171"/>
      <c r="O288" s="171"/>
      <c r="P288" s="171"/>
      <c r="Q288" s="171"/>
      <c r="R288" s="171"/>
      <c r="S288" s="171"/>
      <c r="T288" s="171"/>
      <c r="U288" s="171"/>
      <c r="V288" s="171"/>
      <c r="W288" s="171"/>
      <c r="X288" s="171"/>
      <c r="Y288" s="171"/>
      <c r="Z288" s="171"/>
      <c r="AA288" s="171"/>
      <c r="AB288" s="171"/>
      <c r="AC288" s="171"/>
      <c r="AD288" s="171"/>
      <c r="AE288" s="171"/>
      <c r="AF288" s="171"/>
      <c r="AG288" s="171"/>
      <c r="AH288" s="171"/>
      <c r="AI288" s="171"/>
      <c r="AJ288" s="171"/>
      <c r="AK288" s="171"/>
      <c r="AL288" s="171"/>
      <c r="AM288" s="171"/>
      <c r="AN288" s="171"/>
      <c r="AO288" s="171"/>
      <c r="AP288" s="171"/>
      <c r="AQ288" s="171"/>
      <c r="AR288" s="171"/>
      <c r="AS288" s="171"/>
      <c r="AT288" s="171"/>
      <c r="AU288" s="171"/>
      <c r="AV288" s="171"/>
      <c r="AW288" s="171"/>
      <c r="AX288" s="171"/>
      <c r="AY288" s="171"/>
      <c r="AZ288" s="171"/>
      <c r="BA288" s="171"/>
      <c r="BB288" s="171"/>
      <c r="BC288" s="171"/>
      <c r="BD288" s="171"/>
      <c r="BE288" s="171"/>
      <c r="BF288" s="171"/>
      <c r="BG288" s="171"/>
      <c r="BH288" s="171"/>
      <c r="BI288" s="171"/>
      <c r="BJ288" s="171"/>
      <c r="BK288" s="171"/>
      <c r="BL288" s="171"/>
      <c r="BM288" s="171"/>
    </row>
    <row r="289" spans="1:65" ht="16.5" customHeight="1" outlineLevel="2" x14ac:dyDescent="0.2">
      <c r="A289" s="133"/>
      <c r="B289" s="322"/>
      <c r="C289" s="281" t="s">
        <v>330</v>
      </c>
      <c r="D289" s="282"/>
      <c r="E289" s="199" t="s">
        <v>139</v>
      </c>
      <c r="F289" s="199" t="s">
        <v>139</v>
      </c>
      <c r="G289" s="334" t="s">
        <v>143</v>
      </c>
      <c r="H289" s="335"/>
      <c r="I289" s="335"/>
      <c r="J289" s="336"/>
      <c r="K289" s="337"/>
      <c r="L289" s="171"/>
      <c r="M289" s="171"/>
      <c r="N289" s="171"/>
      <c r="O289" s="171"/>
      <c r="P289" s="171"/>
      <c r="Q289" s="171"/>
      <c r="R289" s="171"/>
      <c r="S289" s="171"/>
      <c r="T289" s="171"/>
      <c r="U289" s="171"/>
      <c r="V289" s="171"/>
      <c r="W289" s="171"/>
      <c r="X289" s="171"/>
      <c r="Y289" s="171"/>
      <c r="Z289" s="171"/>
      <c r="AA289" s="171"/>
      <c r="AB289" s="171"/>
      <c r="AC289" s="171"/>
      <c r="AD289" s="171"/>
      <c r="AE289" s="171"/>
      <c r="AF289" s="171"/>
      <c r="AG289" s="171"/>
      <c r="AH289" s="171"/>
      <c r="AI289" s="171"/>
      <c r="AJ289" s="171"/>
      <c r="AK289" s="171"/>
      <c r="AL289" s="171"/>
      <c r="AM289" s="171"/>
      <c r="AN289" s="171"/>
      <c r="AO289" s="171"/>
      <c r="AP289" s="171"/>
      <c r="AQ289" s="171"/>
      <c r="AR289" s="171"/>
      <c r="AS289" s="171"/>
      <c r="AT289" s="171"/>
      <c r="AU289" s="171"/>
      <c r="AV289" s="171"/>
      <c r="AW289" s="171"/>
      <c r="AX289" s="171"/>
      <c r="AY289" s="171"/>
      <c r="AZ289" s="171"/>
      <c r="BA289" s="171"/>
      <c r="BB289" s="171"/>
      <c r="BC289" s="171"/>
      <c r="BD289" s="171"/>
      <c r="BE289" s="171"/>
      <c r="BF289" s="171"/>
      <c r="BG289" s="171"/>
      <c r="BH289" s="171"/>
      <c r="BI289" s="171"/>
      <c r="BJ289" s="171"/>
      <c r="BK289" s="171"/>
      <c r="BL289" s="171"/>
      <c r="BM289" s="171"/>
    </row>
    <row r="290" spans="1:65" ht="16.5" customHeight="1" outlineLevel="2" x14ac:dyDescent="0.2">
      <c r="A290" s="133"/>
      <c r="B290" s="324"/>
      <c r="C290" s="338" t="s">
        <v>257</v>
      </c>
      <c r="D290" s="339"/>
      <c r="E290" s="298">
        <f>E162*VLOOKUP(E289,Données!$B$676:$G$678,3,FALSE())</f>
        <v>0</v>
      </c>
      <c r="F290" s="298">
        <f>F162*VLOOKUP(F289,Données!$B$676:$G$678,5,FALSE())</f>
        <v>0</v>
      </c>
      <c r="G290" s="340" t="s">
        <v>321</v>
      </c>
      <c r="H290" s="341">
        <f>E290*Données!$D679</f>
        <v>0</v>
      </c>
      <c r="I290" s="341">
        <f>F290*Données!$D679</f>
        <v>0</v>
      </c>
      <c r="J290" s="336"/>
      <c r="K290" s="232"/>
      <c r="L290" s="171"/>
      <c r="M290" s="171"/>
      <c r="N290" s="171"/>
      <c r="O290" s="171"/>
      <c r="P290" s="171"/>
      <c r="Q290" s="171"/>
      <c r="R290" s="171"/>
      <c r="S290" s="171"/>
      <c r="T290" s="171"/>
      <c r="U290" s="171"/>
      <c r="V290" s="171"/>
      <c r="W290" s="171"/>
      <c r="X290" s="171"/>
      <c r="Y290" s="171"/>
      <c r="Z290" s="171"/>
      <c r="AA290" s="171"/>
      <c r="AB290" s="171"/>
      <c r="AC290" s="171"/>
      <c r="AD290" s="171"/>
      <c r="AE290" s="171"/>
      <c r="AF290" s="171"/>
      <c r="AG290" s="171"/>
      <c r="AH290" s="171"/>
      <c r="AI290" s="171"/>
      <c r="AJ290" s="171"/>
      <c r="AK290" s="171"/>
      <c r="AL290" s="171"/>
      <c r="AM290" s="171"/>
      <c r="AN290" s="171"/>
      <c r="AO290" s="171"/>
      <c r="AP290" s="171"/>
      <c r="AQ290" s="171"/>
      <c r="AR290" s="171"/>
      <c r="AS290" s="171"/>
      <c r="AT290" s="171"/>
      <c r="AU290" s="171"/>
      <c r="AV290" s="171"/>
      <c r="AW290" s="171"/>
      <c r="AX290" s="171"/>
      <c r="AY290" s="171"/>
      <c r="AZ290" s="171"/>
      <c r="BA290" s="171"/>
      <c r="BB290" s="171"/>
      <c r="BC290" s="171"/>
      <c r="BD290" s="171"/>
      <c r="BE290" s="171"/>
      <c r="BF290" s="171"/>
      <c r="BG290" s="171"/>
      <c r="BH290" s="171"/>
      <c r="BI290" s="171"/>
      <c r="BJ290" s="171"/>
      <c r="BK290" s="171"/>
      <c r="BL290" s="171"/>
      <c r="BM290" s="171"/>
    </row>
    <row r="291" spans="1:65" ht="13.5" outlineLevel="1" x14ac:dyDescent="0.2">
      <c r="A291" s="133"/>
      <c r="B291" s="216"/>
      <c r="C291" s="171"/>
      <c r="D291" s="178"/>
      <c r="E291" s="179"/>
      <c r="F291" s="179"/>
      <c r="G291" s="217"/>
      <c r="H291" s="179"/>
      <c r="I291" s="179"/>
      <c r="J291" s="342"/>
      <c r="K291" s="179"/>
      <c r="L291" s="171"/>
      <c r="M291" s="171"/>
      <c r="N291" s="171"/>
      <c r="O291" s="171"/>
      <c r="P291" s="171"/>
      <c r="Q291" s="171"/>
      <c r="R291" s="171"/>
      <c r="S291" s="171"/>
      <c r="T291" s="171"/>
      <c r="U291" s="171"/>
      <c r="V291" s="171"/>
      <c r="W291" s="171"/>
      <c r="X291" s="171"/>
      <c r="Y291" s="171"/>
      <c r="Z291" s="171"/>
      <c r="AA291" s="171"/>
      <c r="AB291" s="171"/>
      <c r="AC291" s="171"/>
      <c r="AD291" s="171"/>
      <c r="AE291" s="171"/>
      <c r="AF291" s="171"/>
      <c r="AG291" s="171"/>
      <c r="AH291" s="171"/>
      <c r="AI291" s="171"/>
      <c r="AJ291" s="171"/>
      <c r="AK291" s="171"/>
      <c r="AL291" s="171"/>
      <c r="AM291" s="171"/>
      <c r="AN291" s="171"/>
      <c r="AO291" s="171"/>
      <c r="AP291" s="171"/>
      <c r="AQ291" s="171"/>
      <c r="AR291" s="171"/>
      <c r="AS291" s="171"/>
      <c r="AT291" s="171"/>
      <c r="AU291" s="171"/>
      <c r="AV291" s="171"/>
      <c r="AW291" s="171"/>
      <c r="AX291" s="171"/>
      <c r="AY291" s="171"/>
      <c r="AZ291" s="171"/>
      <c r="BA291" s="171"/>
      <c r="BB291" s="171"/>
      <c r="BC291" s="171"/>
      <c r="BD291" s="171"/>
      <c r="BE291" s="171"/>
      <c r="BF291" s="171"/>
      <c r="BG291" s="171"/>
      <c r="BH291" s="171"/>
      <c r="BI291" s="171"/>
      <c r="BJ291" s="171"/>
      <c r="BK291" s="171"/>
      <c r="BL291" s="171"/>
      <c r="BM291" s="171"/>
    </row>
    <row r="292" spans="1:65" ht="16.5" customHeight="1" outlineLevel="1" x14ac:dyDescent="0.2">
      <c r="A292" s="133"/>
      <c r="B292" s="325" t="s">
        <v>331</v>
      </c>
      <c r="C292" s="330"/>
      <c r="D292" s="274" t="s">
        <v>332</v>
      </c>
      <c r="E292" s="275"/>
      <c r="F292" s="275"/>
      <c r="G292" s="331"/>
      <c r="H292" s="275"/>
      <c r="I292" s="275"/>
      <c r="J292" s="332"/>
      <c r="K292" s="333"/>
      <c r="L292" s="171"/>
      <c r="M292" s="171"/>
      <c r="N292" s="171"/>
      <c r="O292" s="171"/>
      <c r="P292" s="171"/>
      <c r="Q292" s="171"/>
      <c r="R292" s="171"/>
      <c r="S292" s="171"/>
      <c r="T292" s="171"/>
      <c r="U292" s="171"/>
      <c r="V292" s="171"/>
      <c r="W292" s="171"/>
      <c r="X292" s="171"/>
      <c r="Y292" s="171"/>
      <c r="Z292" s="171"/>
      <c r="AA292" s="171"/>
      <c r="AB292" s="171"/>
      <c r="AC292" s="171"/>
      <c r="AD292" s="171"/>
      <c r="AE292" s="171"/>
      <c r="AF292" s="171"/>
      <c r="AG292" s="171"/>
      <c r="AH292" s="171"/>
      <c r="AI292" s="171"/>
      <c r="AJ292" s="171"/>
      <c r="AK292" s="171"/>
      <c r="AL292" s="171"/>
      <c r="AM292" s="171"/>
      <c r="AN292" s="171"/>
      <c r="AO292" s="171"/>
      <c r="AP292" s="171"/>
      <c r="AQ292" s="171"/>
      <c r="AR292" s="171"/>
      <c r="AS292" s="171"/>
      <c r="AT292" s="171"/>
      <c r="AU292" s="171"/>
      <c r="AV292" s="171"/>
      <c r="AW292" s="171"/>
      <c r="AX292" s="171"/>
      <c r="AY292" s="171"/>
      <c r="AZ292" s="171"/>
      <c r="BA292" s="171"/>
      <c r="BB292" s="171"/>
      <c r="BC292" s="171"/>
      <c r="BD292" s="171"/>
      <c r="BE292" s="171"/>
      <c r="BF292" s="171"/>
      <c r="BG292" s="171"/>
      <c r="BH292" s="171"/>
      <c r="BI292" s="171"/>
      <c r="BJ292" s="171"/>
      <c r="BK292" s="171"/>
      <c r="BL292" s="171"/>
      <c r="BM292" s="171"/>
    </row>
    <row r="293" spans="1:65" ht="16.5" customHeight="1" outlineLevel="2" x14ac:dyDescent="0.2">
      <c r="A293" s="133"/>
      <c r="B293" s="322"/>
      <c r="C293" s="281" t="s">
        <v>333</v>
      </c>
      <c r="D293" s="282"/>
      <c r="E293" s="199">
        <v>0</v>
      </c>
      <c r="F293" s="199">
        <v>0</v>
      </c>
      <c r="G293" s="334" t="s">
        <v>334</v>
      </c>
      <c r="H293" s="335"/>
      <c r="I293" s="335"/>
      <c r="J293" s="336"/>
      <c r="K293" s="337"/>
      <c r="L293" s="171"/>
      <c r="M293" s="171"/>
      <c r="N293" s="171"/>
      <c r="O293" s="171"/>
      <c r="P293" s="171"/>
      <c r="Q293" s="171"/>
      <c r="R293" s="171"/>
      <c r="S293" s="171"/>
      <c r="T293" s="171"/>
      <c r="U293" s="171"/>
      <c r="V293" s="171"/>
      <c r="W293" s="171"/>
      <c r="X293" s="171"/>
      <c r="Y293" s="171"/>
      <c r="Z293" s="171"/>
      <c r="AA293" s="171"/>
      <c r="AB293" s="171"/>
      <c r="AC293" s="171"/>
      <c r="AD293" s="171"/>
      <c r="AE293" s="171"/>
      <c r="AF293" s="171"/>
      <c r="AG293" s="171"/>
      <c r="AH293" s="171"/>
      <c r="AI293" s="171"/>
      <c r="AJ293" s="171"/>
      <c r="AK293" s="171"/>
      <c r="AL293" s="171"/>
      <c r="AM293" s="171"/>
      <c r="AN293" s="171"/>
      <c r="AO293" s="171"/>
      <c r="AP293" s="171"/>
      <c r="AQ293" s="171"/>
      <c r="AR293" s="171"/>
      <c r="AS293" s="171"/>
      <c r="AT293" s="171"/>
      <c r="AU293" s="171"/>
      <c r="AV293" s="171"/>
      <c r="AW293" s="171"/>
      <c r="AX293" s="171"/>
      <c r="AY293" s="171"/>
      <c r="AZ293" s="171"/>
      <c r="BA293" s="171"/>
      <c r="BB293" s="171"/>
      <c r="BC293" s="171"/>
      <c r="BD293" s="171"/>
      <c r="BE293" s="171"/>
      <c r="BF293" s="171"/>
      <c r="BG293" s="171"/>
      <c r="BH293" s="171"/>
      <c r="BI293" s="171"/>
      <c r="BJ293" s="171"/>
      <c r="BK293" s="171"/>
      <c r="BL293" s="171"/>
      <c r="BM293" s="171"/>
    </row>
    <row r="294" spans="1:65" ht="16.5" customHeight="1" outlineLevel="2" x14ac:dyDescent="0.2">
      <c r="A294" s="133"/>
      <c r="B294" s="324"/>
      <c r="C294" s="338" t="s">
        <v>257</v>
      </c>
      <c r="D294" s="339"/>
      <c r="E294" s="298">
        <f>E293*10000*Données!D681</f>
        <v>0</v>
      </c>
      <c r="F294" s="298">
        <f>F293*10000*Données!E681</f>
        <v>0</v>
      </c>
      <c r="G294" s="340" t="s">
        <v>321</v>
      </c>
      <c r="H294" s="341">
        <f>E294*Données!$D682</f>
        <v>0</v>
      </c>
      <c r="I294" s="341">
        <f>F294*(Données!$D682-Données!F683)</f>
        <v>0</v>
      </c>
      <c r="J294" s="336"/>
      <c r="K294" s="232"/>
      <c r="L294" s="171"/>
      <c r="M294" s="171"/>
      <c r="N294" s="171"/>
      <c r="O294" s="171"/>
      <c r="P294" s="171"/>
      <c r="Q294" s="171"/>
      <c r="R294" s="171"/>
      <c r="S294" s="171"/>
      <c r="T294" s="171"/>
      <c r="U294" s="171"/>
      <c r="V294" s="171"/>
      <c r="W294" s="171"/>
      <c r="X294" s="171"/>
      <c r="Y294" s="171"/>
      <c r="Z294" s="171"/>
      <c r="AA294" s="171"/>
      <c r="AB294" s="171"/>
      <c r="AC294" s="171"/>
      <c r="AD294" s="171"/>
      <c r="AE294" s="171"/>
      <c r="AF294" s="171"/>
      <c r="AG294" s="171"/>
      <c r="AH294" s="171"/>
      <c r="AI294" s="171"/>
      <c r="AJ294" s="171"/>
      <c r="AK294" s="171"/>
      <c r="AL294" s="171"/>
      <c r="AM294" s="171"/>
      <c r="AN294" s="171"/>
      <c r="AO294" s="171"/>
      <c r="AP294" s="171"/>
      <c r="AQ294" s="171"/>
      <c r="AR294" s="171"/>
      <c r="AS294" s="171"/>
      <c r="AT294" s="171"/>
      <c r="AU294" s="171"/>
      <c r="AV294" s="171"/>
      <c r="AW294" s="171"/>
      <c r="AX294" s="171"/>
      <c r="AY294" s="171"/>
      <c r="AZ294" s="171"/>
      <c r="BA294" s="171"/>
      <c r="BB294" s="171"/>
      <c r="BC294" s="171"/>
      <c r="BD294" s="171"/>
      <c r="BE294" s="171"/>
      <c r="BF294" s="171"/>
      <c r="BG294" s="171"/>
      <c r="BH294" s="171"/>
      <c r="BI294" s="171"/>
      <c r="BJ294" s="171"/>
      <c r="BK294" s="171"/>
      <c r="BL294" s="171"/>
      <c r="BM294" s="171"/>
    </row>
    <row r="295" spans="1:65" ht="13.5" outlineLevel="1" x14ac:dyDescent="0.2">
      <c r="A295" s="133"/>
      <c r="B295" s="216"/>
      <c r="C295" s="171"/>
      <c r="D295" s="178"/>
      <c r="E295" s="179"/>
      <c r="F295" s="303"/>
      <c r="G295" s="304"/>
      <c r="H295" s="144"/>
      <c r="I295" s="144"/>
      <c r="J295" s="163"/>
      <c r="K295" s="144"/>
      <c r="L295" s="141"/>
      <c r="M295" s="141"/>
      <c r="N295" s="141"/>
      <c r="O295" s="141"/>
      <c r="P295" s="141"/>
      <c r="Q295" s="141"/>
      <c r="R295" s="141"/>
      <c r="S295" s="141"/>
      <c r="T295" s="141"/>
      <c r="U295" s="141"/>
      <c r="V295" s="141"/>
      <c r="W295" s="141"/>
      <c r="X295" s="141"/>
      <c r="Y295" s="141"/>
      <c r="Z295" s="141"/>
      <c r="AA295" s="141"/>
      <c r="AB295" s="141"/>
      <c r="AC295" s="141"/>
      <c r="AD295" s="141"/>
      <c r="AE295" s="141"/>
      <c r="AF295" s="141"/>
      <c r="AG295" s="141"/>
      <c r="AH295" s="141"/>
      <c r="AI295" s="141"/>
      <c r="AJ295" s="141"/>
      <c r="AK295" s="141"/>
      <c r="AL295" s="141"/>
      <c r="AM295" s="141"/>
      <c r="AN295" s="141"/>
      <c r="AO295" s="141"/>
      <c r="AP295" s="141"/>
      <c r="AQ295" s="141"/>
      <c r="AR295" s="141"/>
      <c r="AS295" s="141"/>
      <c r="AT295" s="141"/>
      <c r="AU295" s="141"/>
      <c r="AV295" s="141"/>
      <c r="AW295" s="141"/>
      <c r="AX295" s="141"/>
      <c r="AY295" s="141"/>
      <c r="AZ295" s="141"/>
      <c r="BA295" s="141"/>
      <c r="BB295" s="141"/>
      <c r="BC295" s="141"/>
      <c r="BD295" s="141"/>
      <c r="BE295" s="141"/>
      <c r="BF295" s="141"/>
      <c r="BG295" s="141"/>
      <c r="BH295" s="141"/>
      <c r="BI295" s="141"/>
      <c r="BJ295" s="141"/>
      <c r="BK295" s="141"/>
      <c r="BL295" s="141"/>
      <c r="BM295" s="141"/>
    </row>
    <row r="296" spans="1:65" ht="16.5" customHeight="1" outlineLevel="1" x14ac:dyDescent="0.2">
      <c r="A296" s="133"/>
      <c r="B296" s="272" t="s">
        <v>335</v>
      </c>
      <c r="C296" s="273"/>
      <c r="D296" s="274"/>
      <c r="E296" s="277"/>
      <c r="F296" s="277"/>
      <c r="G296" s="305"/>
      <c r="H296" s="277"/>
      <c r="I296" s="277"/>
      <c r="J296" s="278"/>
      <c r="K296" s="279"/>
      <c r="L296" s="141"/>
      <c r="M296" s="141"/>
      <c r="N296" s="141"/>
      <c r="O296" s="141"/>
      <c r="P296" s="141"/>
      <c r="Q296" s="141"/>
      <c r="R296" s="141"/>
      <c r="S296" s="141"/>
      <c r="T296" s="141"/>
      <c r="U296" s="141"/>
      <c r="V296" s="141"/>
      <c r="W296" s="141"/>
      <c r="X296" s="141"/>
      <c r="Y296" s="141"/>
      <c r="Z296" s="141"/>
      <c r="AA296" s="141"/>
      <c r="AB296" s="141"/>
      <c r="AC296" s="141"/>
      <c r="AD296" s="141"/>
      <c r="AE296" s="141"/>
      <c r="AF296" s="141"/>
      <c r="AG296" s="141"/>
      <c r="AH296" s="141"/>
      <c r="AI296" s="141"/>
      <c r="AJ296" s="141"/>
      <c r="AK296" s="141"/>
      <c r="AL296" s="141"/>
      <c r="AM296" s="141"/>
      <c r="AN296" s="141"/>
      <c r="AO296" s="141"/>
      <c r="AP296" s="141"/>
      <c r="AQ296" s="141"/>
      <c r="AR296" s="141"/>
      <c r="AS296" s="141"/>
      <c r="AT296" s="141"/>
      <c r="AU296" s="141"/>
      <c r="AV296" s="141"/>
      <c r="AW296" s="141"/>
      <c r="AX296" s="141"/>
      <c r="AY296" s="141"/>
      <c r="AZ296" s="141"/>
      <c r="BA296" s="141"/>
      <c r="BB296" s="141"/>
      <c r="BC296" s="141"/>
      <c r="BD296" s="141"/>
      <c r="BE296" s="141"/>
      <c r="BF296" s="141"/>
      <c r="BG296" s="141"/>
      <c r="BH296" s="141"/>
      <c r="BI296" s="141"/>
      <c r="BJ296" s="141"/>
      <c r="BK296" s="141"/>
      <c r="BL296" s="141"/>
      <c r="BM296" s="141"/>
    </row>
    <row r="297" spans="1:65" ht="16.5" customHeight="1" outlineLevel="2" x14ac:dyDescent="0.2">
      <c r="A297" s="133" t="s">
        <v>336</v>
      </c>
      <c r="B297" s="280"/>
      <c r="C297" s="343" t="s">
        <v>337</v>
      </c>
      <c r="D297" s="344"/>
      <c r="E297" s="345" t="e">
        <f>E180+E190+E196+E212+E222+E229+E236+E253+E258+E266+E272+E278+E286+($E245+$E290+$E294)*E$18/($E$18+$F$18)</f>
        <v>#DIV/0!</v>
      </c>
      <c r="F297" s="345" t="e">
        <f>F180+F190+F196+F212+F222+F229+F236+F253+F258+F266+F272+F278+F286+($E245+$E290+$E294)*F$18/($E$18+$F$18)</f>
        <v>#DIV/0!</v>
      </c>
      <c r="G297" s="346" t="s">
        <v>258</v>
      </c>
      <c r="H297" s="285"/>
      <c r="I297" s="285"/>
      <c r="J297" s="310"/>
      <c r="K297" s="203"/>
      <c r="L297" s="141"/>
      <c r="M297" s="141"/>
      <c r="N297" s="141"/>
      <c r="O297" s="141"/>
      <c r="P297" s="141"/>
      <c r="Q297" s="141"/>
      <c r="R297" s="141"/>
      <c r="S297" s="141"/>
      <c r="T297" s="141"/>
      <c r="U297" s="141"/>
      <c r="V297" s="141"/>
      <c r="W297" s="141"/>
      <c r="X297" s="141"/>
      <c r="Y297" s="141"/>
      <c r="Z297" s="141"/>
      <c r="AA297" s="141"/>
      <c r="AB297" s="141"/>
      <c r="AC297" s="141"/>
      <c r="AD297" s="141"/>
      <c r="AE297" s="141"/>
      <c r="AF297" s="141"/>
      <c r="AG297" s="141"/>
      <c r="AH297" s="141"/>
      <c r="AI297" s="141"/>
      <c r="AJ297" s="141"/>
      <c r="AK297" s="141"/>
      <c r="AL297" s="141"/>
      <c r="AM297" s="141"/>
      <c r="AN297" s="141"/>
      <c r="AO297" s="141"/>
      <c r="AP297" s="141"/>
      <c r="AQ297" s="141"/>
      <c r="AR297" s="141"/>
      <c r="AS297" s="141"/>
      <c r="AT297" s="141"/>
      <c r="AU297" s="141"/>
      <c r="AV297" s="141"/>
      <c r="AW297" s="141"/>
      <c r="AX297" s="141"/>
      <c r="AY297" s="141"/>
      <c r="AZ297" s="141"/>
      <c r="BA297" s="141"/>
      <c r="BB297" s="141"/>
      <c r="BC297" s="141"/>
      <c r="BD297" s="141"/>
      <c r="BE297" s="141"/>
      <c r="BF297" s="141"/>
      <c r="BG297" s="141"/>
      <c r="BH297" s="141"/>
      <c r="BI297" s="141"/>
      <c r="BJ297" s="141"/>
      <c r="BK297" s="141"/>
      <c r="BL297" s="141"/>
      <c r="BM297" s="141"/>
    </row>
    <row r="298" spans="1:65" ht="16.5" customHeight="1" outlineLevel="2" x14ac:dyDescent="0.2">
      <c r="A298" s="133"/>
      <c r="B298" s="287"/>
      <c r="C298" s="299" t="s">
        <v>338</v>
      </c>
      <c r="D298" s="300"/>
      <c r="E298" s="347">
        <f>E267</f>
        <v>0</v>
      </c>
      <c r="F298" s="347">
        <f>F267</f>
        <v>0</v>
      </c>
      <c r="G298" s="302" t="s">
        <v>258</v>
      </c>
      <c r="H298" s="292"/>
      <c r="I298" s="292"/>
      <c r="J298" s="310"/>
      <c r="K298" s="176"/>
      <c r="L298" s="141"/>
      <c r="M298" s="141"/>
      <c r="N298" s="141"/>
      <c r="O298" s="141"/>
      <c r="P298" s="141"/>
      <c r="Q298" s="141"/>
      <c r="R298" s="141"/>
      <c r="S298" s="141"/>
      <c r="T298" s="141"/>
      <c r="U298" s="141"/>
      <c r="V298" s="141"/>
      <c r="W298" s="141"/>
      <c r="X298" s="141"/>
      <c r="Y298" s="141"/>
      <c r="Z298" s="141"/>
      <c r="AA298" s="141"/>
      <c r="AB298" s="141"/>
      <c r="AC298" s="141"/>
      <c r="AD298" s="141"/>
      <c r="AE298" s="141"/>
      <c r="AF298" s="141"/>
      <c r="AG298" s="141"/>
      <c r="AH298" s="141"/>
      <c r="AI298" s="141"/>
      <c r="AJ298" s="141"/>
      <c r="AK298" s="141"/>
      <c r="AL298" s="141"/>
      <c r="AM298" s="141"/>
      <c r="AN298" s="141"/>
      <c r="AO298" s="141"/>
      <c r="AP298" s="141"/>
      <c r="AQ298" s="141"/>
      <c r="AR298" s="141"/>
      <c r="AS298" s="141"/>
      <c r="AT298" s="141"/>
      <c r="AU298" s="141"/>
      <c r="AV298" s="141"/>
      <c r="AW298" s="141"/>
      <c r="AX298" s="141"/>
      <c r="AY298" s="141"/>
      <c r="AZ298" s="141"/>
      <c r="BA298" s="141"/>
      <c r="BB298" s="141"/>
      <c r="BC298" s="141"/>
      <c r="BD298" s="141"/>
      <c r="BE298" s="141"/>
      <c r="BF298" s="141"/>
      <c r="BG298" s="141"/>
      <c r="BH298" s="141"/>
      <c r="BI298" s="141"/>
      <c r="BJ298" s="141"/>
      <c r="BK298" s="141"/>
      <c r="BL298" s="141"/>
      <c r="BM298" s="141"/>
    </row>
    <row r="299" spans="1:65" ht="16.5" customHeight="1" outlineLevel="2" x14ac:dyDescent="0.2">
      <c r="A299" s="133"/>
      <c r="B299" s="306"/>
      <c r="C299" s="288" t="s">
        <v>339</v>
      </c>
      <c r="D299" s="289"/>
      <c r="E299" s="348" t="e">
        <f>(E297+E298)/E$18</f>
        <v>#DIV/0!</v>
      </c>
      <c r="F299" s="348" t="e">
        <f>(F297+F298)/F$18</f>
        <v>#DIV/0!</v>
      </c>
      <c r="G299" s="302" t="s">
        <v>260</v>
      </c>
      <c r="H299" s="292"/>
      <c r="I299" s="292"/>
      <c r="J299" s="310"/>
      <c r="K299" s="176"/>
      <c r="L299" s="141"/>
      <c r="M299" s="141"/>
      <c r="N299" s="141"/>
      <c r="O299" s="141"/>
      <c r="P299" s="141"/>
      <c r="Q299" s="141"/>
      <c r="R299" s="141"/>
      <c r="S299" s="141"/>
      <c r="T299" s="141"/>
      <c r="U299" s="141"/>
      <c r="V299" s="141"/>
      <c r="W299" s="141"/>
      <c r="X299" s="141"/>
      <c r="Y299" s="141"/>
      <c r="Z299" s="141"/>
      <c r="AA299" s="141"/>
      <c r="AB299" s="141"/>
      <c r="AC299" s="141"/>
      <c r="AD299" s="141"/>
      <c r="AE299" s="141"/>
      <c r="AF299" s="141"/>
      <c r="AG299" s="141"/>
      <c r="AH299" s="141"/>
      <c r="AI299" s="141"/>
      <c r="AJ299" s="141"/>
      <c r="AK299" s="141"/>
      <c r="AL299" s="141"/>
      <c r="AM299" s="141"/>
      <c r="AN299" s="141"/>
      <c r="AO299" s="141"/>
      <c r="AP299" s="141"/>
      <c r="AQ299" s="141"/>
      <c r="AR299" s="141"/>
      <c r="AS299" s="141"/>
      <c r="AT299" s="141"/>
      <c r="AU299" s="141"/>
      <c r="AV299" s="141"/>
      <c r="AW299" s="141"/>
      <c r="AX299" s="141"/>
      <c r="AY299" s="141"/>
      <c r="AZ299" s="141"/>
      <c r="BA299" s="141"/>
      <c r="BB299" s="141"/>
      <c r="BC299" s="141"/>
      <c r="BD299" s="141"/>
      <c r="BE299" s="141"/>
      <c r="BF299" s="141"/>
      <c r="BG299" s="141"/>
      <c r="BH299" s="141"/>
      <c r="BI299" s="141"/>
      <c r="BJ299" s="141"/>
      <c r="BK299" s="141"/>
      <c r="BL299" s="141"/>
      <c r="BM299" s="141"/>
    </row>
    <row r="300" spans="1:65" ht="13.5" outlineLevel="1" x14ac:dyDescent="0.2">
      <c r="A300" s="133"/>
      <c r="B300" s="216"/>
      <c r="C300" s="171"/>
      <c r="D300" s="178"/>
      <c r="E300" s="179"/>
      <c r="F300" s="303"/>
      <c r="G300" s="304"/>
      <c r="H300" s="144"/>
      <c r="I300" s="144"/>
      <c r="J300" s="163"/>
      <c r="K300" s="144"/>
      <c r="L300" s="141"/>
      <c r="M300" s="141"/>
      <c r="N300" s="141"/>
      <c r="O300" s="141"/>
      <c r="P300" s="141"/>
      <c r="Q300" s="141"/>
      <c r="R300" s="141"/>
      <c r="S300" s="141"/>
      <c r="T300" s="141"/>
      <c r="U300" s="141"/>
      <c r="V300" s="141"/>
      <c r="W300" s="141"/>
      <c r="X300" s="141"/>
      <c r="Y300" s="141"/>
      <c r="Z300" s="141"/>
      <c r="AA300" s="141"/>
      <c r="AB300" s="141"/>
      <c r="AC300" s="141"/>
      <c r="AD300" s="141"/>
      <c r="AE300" s="141"/>
      <c r="AF300" s="141"/>
      <c r="AG300" s="141"/>
      <c r="AH300" s="141"/>
      <c r="AI300" s="141"/>
      <c r="AJ300" s="141"/>
      <c r="AK300" s="141"/>
      <c r="AL300" s="141"/>
      <c r="AM300" s="141"/>
      <c r="AN300" s="141"/>
      <c r="AO300" s="141"/>
      <c r="AP300" s="141"/>
      <c r="AQ300" s="141"/>
      <c r="AR300" s="141"/>
      <c r="AS300" s="141"/>
      <c r="AT300" s="141"/>
      <c r="AU300" s="141"/>
      <c r="AV300" s="141"/>
      <c r="AW300" s="141"/>
      <c r="AX300" s="141"/>
      <c r="AY300" s="141"/>
      <c r="AZ300" s="141"/>
      <c r="BA300" s="141"/>
      <c r="BB300" s="141"/>
      <c r="BC300" s="141"/>
      <c r="BD300" s="141"/>
      <c r="BE300" s="141"/>
      <c r="BF300" s="141"/>
      <c r="BG300" s="141"/>
      <c r="BH300" s="141"/>
      <c r="BI300" s="141"/>
      <c r="BJ300" s="141"/>
      <c r="BK300" s="141"/>
      <c r="BL300" s="141"/>
      <c r="BM300" s="141"/>
    </row>
    <row r="301" spans="1:65" ht="16.5" customHeight="1" outlineLevel="1" x14ac:dyDescent="0.2">
      <c r="A301" s="133"/>
      <c r="B301" s="272" t="s">
        <v>340</v>
      </c>
      <c r="C301" s="273"/>
      <c r="D301" s="274" t="s">
        <v>341</v>
      </c>
      <c r="E301" s="277"/>
      <c r="F301" s="277"/>
      <c r="G301" s="305"/>
      <c r="H301" s="277"/>
      <c r="I301" s="277"/>
      <c r="J301" s="278"/>
      <c r="K301" s="279"/>
      <c r="L301" s="141"/>
      <c r="M301" s="141"/>
      <c r="N301" s="141"/>
      <c r="O301" s="141"/>
      <c r="P301" s="141"/>
      <c r="Q301" s="141"/>
      <c r="R301" s="141"/>
      <c r="S301" s="141"/>
      <c r="T301" s="141"/>
      <c r="U301" s="141"/>
      <c r="V301" s="141"/>
      <c r="W301" s="141"/>
      <c r="X301" s="141"/>
      <c r="Y301" s="141"/>
      <c r="Z301" s="141"/>
      <c r="AA301" s="141"/>
      <c r="AB301" s="141"/>
      <c r="AC301" s="141"/>
      <c r="AD301" s="141"/>
      <c r="AE301" s="141"/>
      <c r="AF301" s="141"/>
      <c r="AG301" s="141"/>
      <c r="AH301" s="141"/>
      <c r="AI301" s="141"/>
      <c r="AJ301" s="141"/>
      <c r="AK301" s="141"/>
      <c r="AL301" s="141"/>
      <c r="AM301" s="141"/>
      <c r="AN301" s="141"/>
      <c r="AO301" s="141"/>
      <c r="AP301" s="141"/>
      <c r="AQ301" s="141"/>
      <c r="AR301" s="141"/>
      <c r="AS301" s="141"/>
      <c r="AT301" s="141"/>
      <c r="AU301" s="141"/>
      <c r="AV301" s="141"/>
      <c r="AW301" s="141"/>
      <c r="AX301" s="141"/>
      <c r="AY301" s="141"/>
      <c r="AZ301" s="141"/>
      <c r="BA301" s="141"/>
      <c r="BB301" s="141"/>
      <c r="BC301" s="141"/>
      <c r="BD301" s="141"/>
      <c r="BE301" s="141"/>
      <c r="BF301" s="141"/>
      <c r="BG301" s="141"/>
      <c r="BH301" s="141"/>
      <c r="BI301" s="141"/>
      <c r="BJ301" s="141"/>
      <c r="BK301" s="141"/>
      <c r="BL301" s="141"/>
      <c r="BM301" s="141"/>
    </row>
    <row r="302" spans="1:65" ht="16.5" customHeight="1" outlineLevel="2" x14ac:dyDescent="0.2">
      <c r="A302" s="133"/>
      <c r="B302" s="691" t="str">
        <f>IF(E18+F18=0,"",IF(E302&gt;0.8*(E297+F297),"La production PV est relativement importante, privilégier la sobriété.",""))</f>
        <v/>
      </c>
      <c r="C302" s="281" t="s">
        <v>342</v>
      </c>
      <c r="D302" s="282"/>
      <c r="E302" s="712">
        <f>E166*Données!D685</f>
        <v>0</v>
      </c>
      <c r="F302" s="712"/>
      <c r="G302" s="349" t="s">
        <v>258</v>
      </c>
      <c r="H302" s="335" t="e">
        <f>$E302*Données!$D686*E$18/($E$18+$F$18)</f>
        <v>#DIV/0!</v>
      </c>
      <c r="I302" s="335" t="e">
        <f>$E302*Données!$D686*F$18/($E$18+$F$18)</f>
        <v>#DIV/0!</v>
      </c>
      <c r="J302" s="310"/>
      <c r="K302" s="203"/>
      <c r="L302" s="141"/>
      <c r="M302" s="141"/>
      <c r="N302" s="141"/>
      <c r="O302" s="141"/>
      <c r="P302" s="141"/>
      <c r="Q302" s="141"/>
      <c r="R302" s="141"/>
      <c r="S302" s="141"/>
      <c r="T302" s="141"/>
      <c r="U302" s="141"/>
      <c r="V302" s="141"/>
      <c r="W302" s="141"/>
      <c r="X302" s="141"/>
      <c r="Y302" s="141"/>
      <c r="Z302" s="141"/>
      <c r="AA302" s="141"/>
      <c r="AB302" s="141"/>
      <c r="AC302" s="141"/>
      <c r="AD302" s="141"/>
      <c r="AE302" s="141"/>
      <c r="AF302" s="141"/>
      <c r="AG302" s="141"/>
      <c r="AH302" s="141"/>
      <c r="AI302" s="141"/>
      <c r="AJ302" s="141"/>
      <c r="AK302" s="141"/>
      <c r="AL302" s="141"/>
      <c r="AM302" s="141"/>
      <c r="AN302" s="141"/>
      <c r="AO302" s="141"/>
      <c r="AP302" s="141"/>
      <c r="AQ302" s="141"/>
      <c r="AR302" s="141"/>
      <c r="AS302" s="141"/>
      <c r="AT302" s="141"/>
      <c r="AU302" s="141"/>
      <c r="AV302" s="141"/>
      <c r="AW302" s="141"/>
      <c r="AX302" s="141"/>
      <c r="AY302" s="141"/>
      <c r="AZ302" s="141"/>
      <c r="BA302" s="141"/>
      <c r="BB302" s="141"/>
      <c r="BC302" s="141"/>
      <c r="BD302" s="141"/>
      <c r="BE302" s="141"/>
      <c r="BF302" s="141"/>
      <c r="BG302" s="141"/>
      <c r="BH302" s="141"/>
      <c r="BI302" s="141"/>
      <c r="BJ302" s="141"/>
      <c r="BK302" s="141"/>
      <c r="BL302" s="141"/>
      <c r="BM302" s="141"/>
    </row>
    <row r="303" spans="1:65" ht="16.5" customHeight="1" outlineLevel="2" x14ac:dyDescent="0.2">
      <c r="A303" s="133"/>
      <c r="B303" s="692"/>
      <c r="C303" s="299" t="s">
        <v>343</v>
      </c>
      <c r="D303" s="300"/>
      <c r="E303" s="711" t="e">
        <f>E302/E$18</f>
        <v>#DIV/0!</v>
      </c>
      <c r="F303" s="711"/>
      <c r="G303" s="302" t="s">
        <v>260</v>
      </c>
      <c r="H303" s="350"/>
      <c r="I303" s="350"/>
      <c r="J303" s="310"/>
      <c r="K303" s="176"/>
      <c r="L303" s="141"/>
      <c r="M303" s="141"/>
      <c r="N303" s="141"/>
      <c r="O303" s="141"/>
      <c r="P303" s="141"/>
      <c r="Q303" s="141"/>
      <c r="R303" s="141"/>
      <c r="S303" s="141"/>
      <c r="T303" s="141"/>
      <c r="U303" s="141"/>
      <c r="V303" s="141"/>
      <c r="W303" s="141"/>
      <c r="X303" s="141"/>
      <c r="Y303" s="141"/>
      <c r="Z303" s="141"/>
      <c r="AA303" s="141"/>
      <c r="AB303" s="141"/>
      <c r="AC303" s="141"/>
      <c r="AD303" s="141"/>
      <c r="AE303" s="141"/>
      <c r="AF303" s="141"/>
      <c r="AG303" s="141"/>
      <c r="AH303" s="141"/>
      <c r="AI303" s="141"/>
      <c r="AJ303" s="141"/>
      <c r="AK303" s="141"/>
      <c r="AL303" s="141"/>
      <c r="AM303" s="141"/>
      <c r="AN303" s="141"/>
      <c r="AO303" s="141"/>
      <c r="AP303" s="141"/>
      <c r="AQ303" s="141"/>
      <c r="AR303" s="141"/>
      <c r="AS303" s="141"/>
      <c r="AT303" s="141"/>
      <c r="AU303" s="141"/>
      <c r="AV303" s="141"/>
      <c r="AW303" s="141"/>
      <c r="AX303" s="141"/>
      <c r="AY303" s="141"/>
      <c r="AZ303" s="141"/>
      <c r="BA303" s="141"/>
      <c r="BB303" s="141"/>
      <c r="BC303" s="141"/>
      <c r="BD303" s="141"/>
      <c r="BE303" s="141"/>
      <c r="BF303" s="141"/>
      <c r="BG303" s="141"/>
      <c r="BH303" s="141"/>
      <c r="BI303" s="141"/>
      <c r="BJ303" s="141"/>
      <c r="BK303" s="141"/>
      <c r="BL303" s="141"/>
      <c r="BM303" s="141"/>
    </row>
    <row r="304" spans="1:65" ht="13.5" outlineLevel="1" x14ac:dyDescent="0.2">
      <c r="A304" s="133"/>
      <c r="B304" s="216"/>
      <c r="C304" s="171"/>
      <c r="D304" s="178"/>
      <c r="E304" s="179"/>
      <c r="F304" s="303"/>
      <c r="G304" s="304"/>
      <c r="H304" s="144"/>
      <c r="I304" s="144"/>
      <c r="J304" s="163"/>
      <c r="K304" s="144"/>
      <c r="L304" s="141"/>
      <c r="M304" s="141"/>
      <c r="N304" s="141"/>
      <c r="O304" s="141"/>
      <c r="P304" s="141"/>
      <c r="Q304" s="141"/>
      <c r="R304" s="141"/>
      <c r="S304" s="141"/>
      <c r="T304" s="141"/>
      <c r="U304" s="141"/>
      <c r="V304" s="141"/>
      <c r="W304" s="141"/>
      <c r="X304" s="141"/>
      <c r="Y304" s="141"/>
      <c r="Z304" s="141"/>
      <c r="AA304" s="141"/>
      <c r="AB304" s="141"/>
      <c r="AC304" s="141"/>
      <c r="AD304" s="141"/>
      <c r="AE304" s="141"/>
      <c r="AF304" s="141"/>
      <c r="AG304" s="141"/>
      <c r="AH304" s="141"/>
      <c r="AI304" s="141"/>
      <c r="AJ304" s="141"/>
      <c r="AK304" s="141"/>
      <c r="AL304" s="141"/>
      <c r="AM304" s="141"/>
      <c r="AN304" s="141"/>
      <c r="AO304" s="141"/>
      <c r="AP304" s="141"/>
      <c r="AQ304" s="141"/>
      <c r="AR304" s="141"/>
      <c r="AS304" s="141"/>
      <c r="AT304" s="141"/>
      <c r="AU304" s="141"/>
      <c r="AV304" s="141"/>
      <c r="AW304" s="141"/>
      <c r="AX304" s="141"/>
      <c r="AY304" s="141"/>
      <c r="AZ304" s="141"/>
      <c r="BA304" s="141"/>
      <c r="BB304" s="141"/>
      <c r="BC304" s="141"/>
      <c r="BD304" s="141"/>
      <c r="BE304" s="141"/>
      <c r="BF304" s="141"/>
      <c r="BG304" s="141"/>
      <c r="BH304" s="141"/>
      <c r="BI304" s="141"/>
      <c r="BJ304" s="141"/>
      <c r="BK304" s="141"/>
      <c r="BL304" s="141"/>
      <c r="BM304" s="141"/>
    </row>
    <row r="305" spans="1:65" ht="16.5" customHeight="1" outlineLevel="1" x14ac:dyDescent="0.2">
      <c r="A305" s="133"/>
      <c r="B305" s="272" t="s">
        <v>344</v>
      </c>
      <c r="C305" s="273"/>
      <c r="D305" s="274" t="s">
        <v>345</v>
      </c>
      <c r="E305" s="277"/>
      <c r="F305" s="277"/>
      <c r="G305" s="305"/>
      <c r="H305" s="277"/>
      <c r="I305" s="277"/>
      <c r="J305" s="278"/>
      <c r="K305" s="279"/>
      <c r="L305" s="141"/>
      <c r="M305" s="141"/>
      <c r="N305" s="141"/>
      <c r="O305" s="141"/>
      <c r="P305" s="141"/>
      <c r="Q305" s="141"/>
      <c r="R305" s="141"/>
      <c r="S305" s="141"/>
      <c r="T305" s="141"/>
      <c r="U305" s="141"/>
      <c r="V305" s="141"/>
      <c r="W305" s="141"/>
      <c r="X305" s="141"/>
      <c r="Y305" s="141"/>
      <c r="Z305" s="141"/>
      <c r="AA305" s="141"/>
      <c r="AB305" s="141"/>
      <c r="AC305" s="141"/>
      <c r="AD305" s="141"/>
      <c r="AE305" s="141"/>
      <c r="AF305" s="141"/>
      <c r="AG305" s="141"/>
      <c r="AH305" s="141"/>
      <c r="AI305" s="141"/>
      <c r="AJ305" s="141"/>
      <c r="AK305" s="141"/>
      <c r="AL305" s="141"/>
      <c r="AM305" s="141"/>
      <c r="AN305" s="141"/>
      <c r="AO305" s="141"/>
      <c r="AP305" s="141"/>
      <c r="AQ305" s="141"/>
      <c r="AR305" s="141"/>
      <c r="AS305" s="141"/>
      <c r="AT305" s="141"/>
      <c r="AU305" s="141"/>
      <c r="AV305" s="141"/>
      <c r="AW305" s="141"/>
      <c r="AX305" s="141"/>
      <c r="AY305" s="141"/>
      <c r="AZ305" s="141"/>
      <c r="BA305" s="141"/>
      <c r="BB305" s="141"/>
      <c r="BC305" s="141"/>
      <c r="BD305" s="141"/>
      <c r="BE305" s="141"/>
      <c r="BF305" s="141"/>
      <c r="BG305" s="141"/>
      <c r="BH305" s="141"/>
      <c r="BI305" s="141"/>
      <c r="BJ305" s="141"/>
      <c r="BK305" s="141"/>
      <c r="BL305" s="141"/>
      <c r="BM305" s="141"/>
    </row>
    <row r="306" spans="1:65" ht="16.5" customHeight="1" outlineLevel="2" x14ac:dyDescent="0.2">
      <c r="A306" s="133"/>
      <c r="B306" s="322"/>
      <c r="C306" s="351" t="s">
        <v>346</v>
      </c>
      <c r="D306" s="352"/>
      <c r="E306" s="701" t="s">
        <v>139</v>
      </c>
      <c r="F306" s="701"/>
      <c r="G306" s="334" t="s">
        <v>143</v>
      </c>
      <c r="H306" s="335" t="e">
        <f>(VLOOKUP($E306,Données!$B$688:$G$690,3,FALSE())-1)*SUM(H$183:H$294)</f>
        <v>#DIV/0!</v>
      </c>
      <c r="I306" s="335" t="e">
        <f>(VLOOKUP($E306,Données!$B$688:$G$690,3,FALSE())-1)*SUM(I183:I294)</f>
        <v>#DIV/0!</v>
      </c>
      <c r="J306" s="336"/>
      <c r="K306" s="337"/>
      <c r="L306" s="171"/>
      <c r="M306" s="171"/>
      <c r="N306" s="171"/>
      <c r="O306" s="171"/>
      <c r="P306" s="171"/>
      <c r="Q306" s="171"/>
      <c r="R306" s="171"/>
      <c r="S306" s="171"/>
      <c r="T306" s="171"/>
      <c r="U306" s="171"/>
      <c r="V306" s="171"/>
      <c r="W306" s="171"/>
      <c r="X306" s="171"/>
      <c r="Y306" s="171"/>
      <c r="Z306" s="171"/>
      <c r="AA306" s="171"/>
      <c r="AB306" s="171"/>
      <c r="AC306" s="171"/>
      <c r="AD306" s="171"/>
      <c r="AE306" s="171"/>
      <c r="AF306" s="171"/>
      <c r="AG306" s="171"/>
      <c r="AH306" s="171"/>
      <c r="AI306" s="171"/>
      <c r="AJ306" s="171"/>
      <c r="AK306" s="171"/>
      <c r="AL306" s="171"/>
      <c r="AM306" s="171"/>
      <c r="AN306" s="171"/>
      <c r="AO306" s="171"/>
      <c r="AP306" s="171"/>
      <c r="AQ306" s="171"/>
      <c r="AR306" s="171"/>
      <c r="AS306" s="171"/>
      <c r="AT306" s="171"/>
      <c r="AU306" s="171"/>
      <c r="AV306" s="171"/>
      <c r="AW306" s="171"/>
      <c r="AX306" s="171"/>
      <c r="AY306" s="171"/>
      <c r="AZ306" s="171"/>
      <c r="BA306" s="171"/>
      <c r="BB306" s="171"/>
      <c r="BC306" s="171"/>
      <c r="BD306" s="171"/>
      <c r="BE306" s="171"/>
      <c r="BF306" s="171"/>
      <c r="BG306" s="171"/>
      <c r="BH306" s="171"/>
      <c r="BI306" s="171"/>
      <c r="BJ306" s="171"/>
      <c r="BK306" s="171"/>
      <c r="BL306" s="171"/>
      <c r="BM306" s="171"/>
    </row>
    <row r="307" spans="1:65" ht="16.5" customHeight="1" outlineLevel="2" x14ac:dyDescent="0.2">
      <c r="A307" s="133"/>
      <c r="B307" s="324"/>
      <c r="C307" s="288" t="s">
        <v>347</v>
      </c>
      <c r="D307" s="289"/>
      <c r="E307" s="700" t="s">
        <v>139</v>
      </c>
      <c r="F307" s="700"/>
      <c r="G307" s="353" t="s">
        <v>143</v>
      </c>
      <c r="H307" s="341" t="e">
        <f>(VLOOKUP($E307,Données!$B$691:$G$694,3,FALSE())-1)*SUM(H$183:H$294)</f>
        <v>#DIV/0!</v>
      </c>
      <c r="I307" s="341" t="e">
        <f>(VLOOKUP($E307,Données!$B$691:$G$694,3,FALSE())-1)*SUM(I$183:I$294)</f>
        <v>#DIV/0!</v>
      </c>
      <c r="J307" s="336"/>
      <c r="K307" s="232"/>
      <c r="L307" s="171"/>
      <c r="M307" s="171"/>
      <c r="N307" s="171"/>
      <c r="O307" s="171"/>
      <c r="P307" s="171"/>
      <c r="Q307" s="171"/>
      <c r="R307" s="171"/>
      <c r="S307" s="171"/>
      <c r="T307" s="171"/>
      <c r="U307" s="171"/>
      <c r="V307" s="171"/>
      <c r="W307" s="171"/>
      <c r="X307" s="171"/>
      <c r="Y307" s="171"/>
      <c r="Z307" s="171"/>
      <c r="AA307" s="171"/>
      <c r="AB307" s="171"/>
      <c r="AC307" s="171"/>
      <c r="AD307" s="171"/>
      <c r="AE307" s="171"/>
      <c r="AF307" s="171"/>
      <c r="AG307" s="171"/>
      <c r="AH307" s="171"/>
      <c r="AI307" s="171"/>
      <c r="AJ307" s="171"/>
      <c r="AK307" s="171"/>
      <c r="AL307" s="171"/>
      <c r="AM307" s="171"/>
      <c r="AN307" s="171"/>
      <c r="AO307" s="171"/>
      <c r="AP307" s="171"/>
      <c r="AQ307" s="171"/>
      <c r="AR307" s="171"/>
      <c r="AS307" s="171"/>
      <c r="AT307" s="171"/>
      <c r="AU307" s="171"/>
      <c r="AV307" s="171"/>
      <c r="AW307" s="171"/>
      <c r="AX307" s="171"/>
      <c r="AY307" s="171"/>
      <c r="AZ307" s="171"/>
      <c r="BA307" s="171"/>
      <c r="BB307" s="171"/>
      <c r="BC307" s="171"/>
      <c r="BD307" s="171"/>
      <c r="BE307" s="171"/>
      <c r="BF307" s="171"/>
      <c r="BG307" s="171"/>
      <c r="BH307" s="171"/>
      <c r="BI307" s="171"/>
      <c r="BJ307" s="171"/>
      <c r="BK307" s="171"/>
      <c r="BL307" s="171"/>
      <c r="BM307" s="171"/>
    </row>
    <row r="308" spans="1:65" outlineLevel="1" x14ac:dyDescent="0.2">
      <c r="B308" s="140"/>
      <c r="C308" s="141"/>
      <c r="D308" s="142"/>
      <c r="E308" s="141"/>
      <c r="F308" s="143"/>
      <c r="G308" s="142"/>
      <c r="H308" s="144"/>
      <c r="I308" s="144"/>
      <c r="J308" s="144"/>
      <c r="K308" s="141"/>
      <c r="L308" s="109"/>
      <c r="M308" s="109"/>
      <c r="N308" s="109"/>
      <c r="O308" s="109"/>
      <c r="P308" s="109"/>
      <c r="Q308" s="109"/>
      <c r="R308" s="109"/>
      <c r="S308" s="109"/>
    </row>
    <row r="309" spans="1:65" ht="38.25" customHeight="1" x14ac:dyDescent="0.2">
      <c r="A309" s="354" t="s">
        <v>348</v>
      </c>
      <c r="B309" s="355" t="s">
        <v>349</v>
      </c>
      <c r="C309" s="356"/>
      <c r="D309" s="357" t="str">
        <f>D$7</f>
        <v>GUIDE</v>
      </c>
      <c r="E309" s="358" t="str">
        <f>E$7</f>
        <v>BATIMENT(S) NEUF(S)
OU EXTENSION(S)</v>
      </c>
      <c r="F309" s="358" t="str">
        <f>F$7</f>
        <v>BATIMENT(S)
RENOVÉ(S)</v>
      </c>
      <c r="G309" s="359" t="s">
        <v>93</v>
      </c>
      <c r="H309" s="360" t="s">
        <v>245</v>
      </c>
      <c r="I309" s="360" t="s">
        <v>246</v>
      </c>
      <c r="J309" s="361" t="s">
        <v>350</v>
      </c>
      <c r="K309" s="357" t="str">
        <f>K$7</f>
        <v>COMMENTAIRE</v>
      </c>
      <c r="L309" s="139"/>
      <c r="M309" s="139"/>
      <c r="N309" s="139"/>
      <c r="O309" s="139"/>
      <c r="P309" s="139"/>
      <c r="Q309" s="139"/>
      <c r="R309" s="139"/>
      <c r="S309" s="139"/>
      <c r="T309" s="139"/>
      <c r="U309" s="139"/>
      <c r="V309" s="139"/>
      <c r="W309" s="139"/>
      <c r="X309" s="139"/>
      <c r="Y309" s="139"/>
      <c r="Z309" s="139"/>
      <c r="AA309" s="139"/>
      <c r="AB309" s="139"/>
      <c r="AC309" s="139"/>
      <c r="AD309" s="139"/>
      <c r="AE309" s="139"/>
      <c r="AF309" s="139"/>
      <c r="AG309" s="139"/>
      <c r="AH309" s="139"/>
      <c r="AI309" s="139"/>
      <c r="AJ309" s="139"/>
      <c r="AK309" s="139"/>
      <c r="AL309" s="139"/>
      <c r="AM309" s="139"/>
      <c r="AN309" s="139"/>
      <c r="AO309" s="139"/>
      <c r="AP309" s="139"/>
      <c r="AQ309" s="139"/>
      <c r="AR309" s="139"/>
      <c r="AS309" s="139"/>
      <c r="AT309" s="139"/>
      <c r="AU309" s="139"/>
      <c r="AV309" s="139"/>
      <c r="AW309" s="139"/>
      <c r="AX309" s="139"/>
      <c r="AY309" s="139"/>
      <c r="AZ309" s="139"/>
      <c r="BA309" s="139"/>
      <c r="BB309" s="139"/>
      <c r="BC309" s="139"/>
      <c r="BD309" s="139"/>
      <c r="BE309" s="139"/>
      <c r="BF309" s="139"/>
      <c r="BG309" s="139"/>
      <c r="BH309" s="139"/>
      <c r="BI309" s="139"/>
      <c r="BJ309" s="139"/>
      <c r="BK309" s="139"/>
      <c r="BL309" s="139"/>
      <c r="BM309" s="139"/>
    </row>
    <row r="310" spans="1:65" ht="6.75" customHeight="1" x14ac:dyDescent="0.2">
      <c r="B310" s="140"/>
      <c r="C310" s="141"/>
      <c r="D310" s="142"/>
      <c r="E310" s="141"/>
      <c r="F310" s="143"/>
      <c r="G310" s="142"/>
      <c r="H310" s="144"/>
      <c r="I310" s="144"/>
      <c r="J310" s="144"/>
      <c r="K310" s="141"/>
      <c r="L310" s="109"/>
      <c r="M310" s="109"/>
      <c r="N310" s="109"/>
      <c r="O310" s="109"/>
      <c r="P310" s="109"/>
      <c r="Q310" s="109"/>
      <c r="R310" s="109"/>
      <c r="S310" s="109"/>
    </row>
    <row r="311" spans="1:65" ht="13.5" hidden="1" outlineLevel="1" x14ac:dyDescent="0.2">
      <c r="B311" s="362" t="s">
        <v>351</v>
      </c>
      <c r="C311" s="363" t="s">
        <v>352</v>
      </c>
      <c r="D311" s="364" t="s">
        <v>353</v>
      </c>
      <c r="E311" s="365"/>
      <c r="F311" s="365"/>
      <c r="G311" s="366"/>
      <c r="H311" s="367"/>
      <c r="I311" s="367"/>
      <c r="J311" s="368" t="str">
        <f>IF(E$18+F$18&gt;0,SUM(J312:J315)/5*SUM(E$15:F$16)/(E$18+F$18),"")</f>
        <v/>
      </c>
      <c r="K311" s="369"/>
      <c r="L311" s="109"/>
      <c r="M311" s="109"/>
      <c r="N311" s="109"/>
      <c r="O311" s="109"/>
      <c r="P311" s="109"/>
      <c r="Q311" s="109"/>
      <c r="R311" s="109"/>
      <c r="S311" s="109"/>
    </row>
    <row r="312" spans="1:65" ht="16.5" hidden="1" customHeight="1" outlineLevel="2" x14ac:dyDescent="0.2">
      <c r="B312" s="370"/>
      <c r="C312" s="371" t="s">
        <v>354</v>
      </c>
      <c r="D312" s="372"/>
      <c r="E312" s="701" t="s">
        <v>139</v>
      </c>
      <c r="F312" s="701"/>
      <c r="G312" s="373" t="s">
        <v>143</v>
      </c>
      <c r="H312" s="374">
        <f>VLOOKUP($E312,Données!$B$732:$G$735,3,FALSE())*E$9*Données!D$697*Données!D$699*(1-Données!D$700)</f>
        <v>0</v>
      </c>
      <c r="I312" s="374">
        <v>0</v>
      </c>
      <c r="J312" s="375">
        <f>IF(E312=Données!B733,2,IF(E312=Données!B734,1,0))</f>
        <v>0</v>
      </c>
      <c r="K312" s="203"/>
      <c r="L312" s="109"/>
      <c r="M312" s="109"/>
      <c r="N312" s="109"/>
      <c r="O312" s="109"/>
      <c r="P312" s="109"/>
      <c r="Q312" s="109"/>
      <c r="R312" s="109"/>
      <c r="S312" s="109"/>
    </row>
    <row r="313" spans="1:65" ht="16.5" hidden="1" customHeight="1" outlineLevel="2" x14ac:dyDescent="0.2">
      <c r="B313" s="370"/>
      <c r="C313" s="376" t="s">
        <v>355</v>
      </c>
      <c r="D313" s="377"/>
      <c r="E313" s="1" t="s">
        <v>139</v>
      </c>
      <c r="F313" s="1" t="s">
        <v>139</v>
      </c>
      <c r="G313" s="378" t="s">
        <v>143</v>
      </c>
      <c r="H313" s="379">
        <f>-VLOOKUP($E313,Données!$B$703:$G$707,3,FALSE())*Données!D736*H$312</f>
        <v>0</v>
      </c>
      <c r="I313" s="379">
        <f>-VLOOKUP($F313,Données!$B$719:$G$722,5,FALSE())*Données!D736*VLOOKUP($E$312,Données!$B$732:$G$735,3,FALSE())*F$9*Données!D$697*Données!D$699*(1-Données!D$700)</f>
        <v>0</v>
      </c>
      <c r="J313" s="380" t="e">
        <f>(E$18*IF(E313=Données!B$707,1,0)+F$18*IF(F313=Données!B$722,1,0))/(E$18+F$18)</f>
        <v>#DIV/0!</v>
      </c>
      <c r="K313" s="176"/>
      <c r="L313" s="109"/>
      <c r="M313" s="109"/>
      <c r="N313" s="109"/>
      <c r="O313" s="109"/>
      <c r="P313" s="109"/>
      <c r="Q313" s="109"/>
      <c r="R313" s="109"/>
      <c r="S313" s="109"/>
    </row>
    <row r="314" spans="1:65" ht="16.5" hidden="1" customHeight="1" outlineLevel="2" x14ac:dyDescent="0.2">
      <c r="B314" s="370"/>
      <c r="C314" s="376" t="s">
        <v>356</v>
      </c>
      <c r="D314" s="377"/>
      <c r="E314" s="1" t="s">
        <v>139</v>
      </c>
      <c r="F314" s="1" t="s">
        <v>139</v>
      </c>
      <c r="G314" s="378" t="s">
        <v>143</v>
      </c>
      <c r="H314" s="379">
        <f>-VLOOKUP($E314,Données!$B$708:$G$712,3,FALSE())*Données!D737*H$312</f>
        <v>0</v>
      </c>
      <c r="I314" s="379">
        <f>-VLOOKUP($F314,Données!$B$723:$G$726,5,FALSE())*Données!D737*VLOOKUP($E$312,Données!$B$732:$G$735,3,FALSE())*F$9*Données!D$697*Données!D$699*(1-Données!D$700)</f>
        <v>0</v>
      </c>
      <c r="J314" s="380" t="e">
        <f>(E$18*IF(E314=Données!B$712,1,0)+F$18*IF(F314=Données!B$726,1,0))/(E$18+F$18)</f>
        <v>#DIV/0!</v>
      </c>
      <c r="K314" s="176"/>
      <c r="L314" s="109"/>
      <c r="M314" s="109"/>
      <c r="N314" s="109"/>
      <c r="O314" s="109"/>
      <c r="P314" s="109"/>
      <c r="Q314" s="109"/>
      <c r="R314" s="109"/>
      <c r="S314" s="109"/>
    </row>
    <row r="315" spans="1:65" ht="16.5" hidden="1" customHeight="1" outlineLevel="2" x14ac:dyDescent="0.2">
      <c r="B315" s="381"/>
      <c r="C315" s="376" t="s">
        <v>357</v>
      </c>
      <c r="D315" s="377"/>
      <c r="E315" s="1" t="s">
        <v>139</v>
      </c>
      <c r="F315" s="1" t="s">
        <v>139</v>
      </c>
      <c r="G315" s="378" t="s">
        <v>143</v>
      </c>
      <c r="H315" s="379">
        <f>-VLOOKUP($E315,Données!$B$713:$G$717,3,FALSE())*Données!D738*H$312</f>
        <v>0</v>
      </c>
      <c r="I315" s="379">
        <f>-VLOOKUP($F315,Données!$B$727:$G$730,5,FALSE())*Données!D738*VLOOKUP($E$312,Données!$B$732:$G$735,3,FALSE())*F$9*Données!D$697*Données!D$699*(1-Données!D$700)</f>
        <v>0</v>
      </c>
      <c r="J315" s="380" t="e">
        <f>(E$18*IF(E315=Données!B$717,1,0)+F$18*IF(F315=Données!B$730,1,0))/(E$18+F$18)</f>
        <v>#DIV/0!</v>
      </c>
      <c r="K315" s="176"/>
      <c r="L315" s="109"/>
      <c r="M315" s="109"/>
      <c r="N315" s="109"/>
      <c r="O315" s="109"/>
      <c r="P315" s="109"/>
      <c r="Q315" s="109"/>
      <c r="R315" s="109"/>
      <c r="S315" s="109"/>
    </row>
    <row r="316" spans="1:65" ht="13.5" hidden="1" outlineLevel="1" x14ac:dyDescent="0.2">
      <c r="A316" s="133"/>
      <c r="B316" s="216"/>
      <c r="C316" s="171"/>
      <c r="D316" s="178"/>
      <c r="E316" s="179"/>
      <c r="F316" s="179"/>
      <c r="G316" s="217"/>
      <c r="H316" s="144"/>
      <c r="I316" s="144"/>
      <c r="J316" s="163"/>
      <c r="K316" s="144"/>
      <c r="L316" s="141"/>
      <c r="M316" s="141"/>
      <c r="N316" s="141"/>
      <c r="O316" s="141"/>
      <c r="P316" s="141"/>
      <c r="Q316" s="141"/>
      <c r="R316" s="141"/>
      <c r="S316" s="141"/>
      <c r="T316" s="141"/>
      <c r="U316" s="141"/>
      <c r="V316" s="141"/>
      <c r="W316" s="141"/>
      <c r="X316" s="141"/>
      <c r="Y316" s="141"/>
      <c r="Z316" s="141"/>
      <c r="AA316" s="141"/>
      <c r="AB316" s="141"/>
      <c r="AC316" s="141"/>
      <c r="AD316" s="141"/>
      <c r="AE316" s="141"/>
      <c r="AF316" s="141"/>
      <c r="AG316" s="141"/>
      <c r="AH316" s="141"/>
      <c r="AI316" s="141"/>
      <c r="AJ316" s="141"/>
      <c r="AK316" s="141"/>
      <c r="AL316" s="141"/>
      <c r="AM316" s="141"/>
      <c r="AN316" s="141"/>
      <c r="AO316" s="141"/>
      <c r="AP316" s="141"/>
      <c r="AQ316" s="141"/>
      <c r="AR316" s="141"/>
      <c r="AS316" s="141"/>
      <c r="AT316" s="141"/>
      <c r="AU316" s="141"/>
      <c r="AV316" s="141"/>
      <c r="AW316" s="141"/>
      <c r="AX316" s="141"/>
      <c r="AY316" s="141"/>
      <c r="AZ316" s="141"/>
      <c r="BA316" s="141"/>
      <c r="BB316" s="141"/>
      <c r="BC316" s="141"/>
      <c r="BD316" s="141"/>
      <c r="BE316" s="141"/>
      <c r="BF316" s="141"/>
      <c r="BG316" s="141"/>
      <c r="BH316" s="141"/>
      <c r="BI316" s="141"/>
      <c r="BJ316" s="141"/>
      <c r="BK316" s="141"/>
      <c r="BL316" s="141"/>
      <c r="BM316" s="141"/>
    </row>
    <row r="317" spans="1:65" ht="16.5" hidden="1" customHeight="1" outlineLevel="1" x14ac:dyDescent="0.2">
      <c r="A317" s="133"/>
      <c r="B317" s="362" t="s">
        <v>358</v>
      </c>
      <c r="C317" s="363" t="str">
        <f>CONCATENATE("des ",PROJET!C$10)</f>
        <v>des Bureaux</v>
      </c>
      <c r="D317" s="364" t="s">
        <v>359</v>
      </c>
      <c r="E317" s="382"/>
      <c r="F317" s="382"/>
      <c r="G317" s="366"/>
      <c r="H317" s="367"/>
      <c r="I317" s="367"/>
      <c r="J317" s="368" t="str">
        <f>IF(E$18+F$18&gt;0,SUM(J318:J333)/5*(E$17+F$17)/(E$18+F$18)/(3-PROJET!E$11),"")</f>
        <v/>
      </c>
      <c r="K317" s="369"/>
      <c r="L317" s="141"/>
      <c r="M317" s="141"/>
      <c r="N317" s="141"/>
      <c r="O317" s="141"/>
      <c r="P317" s="141"/>
      <c r="Q317" s="141"/>
      <c r="R317" s="141"/>
      <c r="S317" s="141"/>
      <c r="T317" s="141"/>
      <c r="U317" s="141"/>
      <c r="V317" s="141"/>
      <c r="W317" s="141"/>
      <c r="X317" s="141"/>
      <c r="Y317" s="141"/>
      <c r="Z317" s="141"/>
      <c r="AA317" s="141"/>
      <c r="AB317" s="141"/>
      <c r="AC317" s="141"/>
      <c r="AD317" s="141"/>
      <c r="AE317" s="141"/>
      <c r="AF317" s="141"/>
      <c r="AG317" s="141"/>
      <c r="AH317" s="141"/>
      <c r="AI317" s="141"/>
      <c r="AJ317" s="141"/>
      <c r="AK317" s="141"/>
      <c r="AL317" s="141"/>
      <c r="AM317" s="141"/>
      <c r="AN317" s="141"/>
      <c r="AO317" s="141"/>
      <c r="AP317" s="141"/>
      <c r="AQ317" s="141"/>
      <c r="AR317" s="141"/>
      <c r="AS317" s="141"/>
      <c r="AT317" s="141"/>
      <c r="AU317" s="141"/>
      <c r="AV317" s="141"/>
      <c r="AW317" s="141"/>
      <c r="AX317" s="141"/>
      <c r="AY317" s="141"/>
      <c r="AZ317" s="141"/>
      <c r="BA317" s="141"/>
      <c r="BB317" s="141"/>
      <c r="BC317" s="141"/>
      <c r="BD317" s="141"/>
      <c r="BE317" s="141"/>
      <c r="BF317" s="141"/>
      <c r="BG317" s="141"/>
      <c r="BH317" s="141"/>
      <c r="BI317" s="141"/>
      <c r="BJ317" s="141"/>
      <c r="BK317" s="141"/>
      <c r="BL317" s="141"/>
      <c r="BM317" s="141"/>
    </row>
    <row r="318" spans="1:65" ht="16.5" hidden="1" customHeight="1" outlineLevel="2" x14ac:dyDescent="0.2">
      <c r="A318" s="133"/>
      <c r="B318" s="370"/>
      <c r="C318" s="371" t="s">
        <v>354</v>
      </c>
      <c r="D318" s="372"/>
      <c r="E318" s="701" t="s">
        <v>139</v>
      </c>
      <c r="F318" s="701"/>
      <c r="G318" s="373" t="s">
        <v>143</v>
      </c>
      <c r="H318" s="374">
        <f>VLOOKUP($E318,Données!$B$740:$G$743,3,FALSE())*E$10*Données!D$697*(1-Données!D$700)</f>
        <v>0</v>
      </c>
      <c r="I318" s="374">
        <v>0</v>
      </c>
      <c r="J318" s="375">
        <f>IF(E318=Données!B741,2,IF(E318=Données!B742,1,0))</f>
        <v>0</v>
      </c>
      <c r="K318" s="203"/>
      <c r="L318" s="141"/>
      <c r="M318" s="141"/>
      <c r="N318" s="141"/>
      <c r="O318" s="141"/>
      <c r="P318" s="141"/>
      <c r="Q318" s="141"/>
      <c r="R318" s="141"/>
      <c r="S318" s="141"/>
      <c r="T318" s="141"/>
      <c r="U318" s="141"/>
      <c r="V318" s="141"/>
      <c r="W318" s="141"/>
      <c r="X318" s="141"/>
      <c r="Y318" s="141"/>
      <c r="Z318" s="141"/>
      <c r="AA318" s="141"/>
      <c r="AB318" s="141"/>
      <c r="AC318" s="141"/>
      <c r="AD318" s="141"/>
      <c r="AE318" s="141"/>
      <c r="AF318" s="141"/>
      <c r="AG318" s="141"/>
      <c r="AH318" s="141"/>
      <c r="AI318" s="141"/>
      <c r="AJ318" s="141"/>
      <c r="AK318" s="141"/>
      <c r="AL318" s="141"/>
      <c r="AM318" s="141"/>
      <c r="AN318" s="141"/>
      <c r="AO318" s="141"/>
      <c r="AP318" s="141"/>
      <c r="AQ318" s="141"/>
      <c r="AR318" s="141"/>
      <c r="AS318" s="141"/>
      <c r="AT318" s="141"/>
      <c r="AU318" s="141"/>
      <c r="AV318" s="141"/>
      <c r="AW318" s="141"/>
      <c r="AX318" s="141"/>
      <c r="AY318" s="141"/>
      <c r="AZ318" s="141"/>
      <c r="BA318" s="141"/>
      <c r="BB318" s="141"/>
      <c r="BC318" s="141"/>
      <c r="BD318" s="141"/>
      <c r="BE318" s="141"/>
      <c r="BF318" s="141"/>
      <c r="BG318" s="141"/>
      <c r="BH318" s="141"/>
      <c r="BI318" s="141"/>
      <c r="BJ318" s="141"/>
      <c r="BK318" s="141"/>
      <c r="BL318" s="141"/>
      <c r="BM318" s="141"/>
    </row>
    <row r="319" spans="1:65" ht="16.5" hidden="1" customHeight="1" outlineLevel="2" x14ac:dyDescent="0.2">
      <c r="A319" s="133"/>
      <c r="B319" s="370"/>
      <c r="C319" s="376" t="s">
        <v>355</v>
      </c>
      <c r="D319" s="377"/>
      <c r="E319" s="1" t="s">
        <v>139</v>
      </c>
      <c r="F319" s="1" t="s">
        <v>139</v>
      </c>
      <c r="G319" s="378" t="s">
        <v>143</v>
      </c>
      <c r="H319" s="379">
        <f>-VLOOKUP($E319,Données!$B$703:$G$707,3,FALSE())*Données!D744*H$318</f>
        <v>0</v>
      </c>
      <c r="I319" s="379">
        <f>-VLOOKUP($F319,Données!$B$719:$G$722,5,FALSE())*Données!D744*VLOOKUP($E$318,Données!$B$740:$G$743,3,FALSE())*F$10*Données!D$697*(1-Données!D$700)</f>
        <v>0</v>
      </c>
      <c r="J319" s="380" t="e">
        <f>(E$18*IF(E319=Données!B$707,1,0)+F$18*IF(F319=Données!B$722,1,0))/(E$18+F$18)</f>
        <v>#DIV/0!</v>
      </c>
      <c r="K319" s="176"/>
      <c r="L319" s="141"/>
      <c r="M319" s="141"/>
      <c r="N319" s="141"/>
      <c r="O319" s="141"/>
      <c r="P319" s="141"/>
      <c r="Q319" s="141"/>
      <c r="R319" s="141"/>
      <c r="S319" s="141"/>
      <c r="T319" s="141"/>
      <c r="U319" s="141"/>
      <c r="V319" s="141"/>
      <c r="W319" s="141"/>
      <c r="X319" s="141"/>
      <c r="Y319" s="141"/>
      <c r="Z319" s="141"/>
      <c r="AA319" s="141"/>
      <c r="AB319" s="141"/>
      <c r="AC319" s="141"/>
      <c r="AD319" s="141"/>
      <c r="AE319" s="141"/>
      <c r="AF319" s="141"/>
      <c r="AG319" s="141"/>
      <c r="AH319" s="141"/>
      <c r="AI319" s="141"/>
      <c r="AJ319" s="141"/>
      <c r="AK319" s="141"/>
      <c r="AL319" s="141"/>
      <c r="AM319" s="141"/>
      <c r="AN319" s="141"/>
      <c r="AO319" s="141"/>
      <c r="AP319" s="141"/>
      <c r="AQ319" s="141"/>
      <c r="AR319" s="141"/>
      <c r="AS319" s="141"/>
      <c r="AT319" s="141"/>
      <c r="AU319" s="141"/>
      <c r="AV319" s="141"/>
      <c r="AW319" s="141"/>
      <c r="AX319" s="141"/>
      <c r="AY319" s="141"/>
      <c r="AZ319" s="141"/>
      <c r="BA319" s="141"/>
      <c r="BB319" s="141"/>
      <c r="BC319" s="141"/>
      <c r="BD319" s="141"/>
      <c r="BE319" s="141"/>
      <c r="BF319" s="141"/>
      <c r="BG319" s="141"/>
      <c r="BH319" s="141"/>
      <c r="BI319" s="141"/>
      <c r="BJ319" s="141"/>
      <c r="BK319" s="141"/>
      <c r="BL319" s="141"/>
      <c r="BM319" s="141"/>
    </row>
    <row r="320" spans="1:65" ht="16.5" hidden="1" customHeight="1" outlineLevel="2" x14ac:dyDescent="0.2">
      <c r="A320" s="133"/>
      <c r="B320" s="370"/>
      <c r="C320" s="376" t="s">
        <v>356</v>
      </c>
      <c r="D320" s="377"/>
      <c r="E320" s="1" t="s">
        <v>139</v>
      </c>
      <c r="F320" s="1" t="s">
        <v>139</v>
      </c>
      <c r="G320" s="378" t="s">
        <v>143</v>
      </c>
      <c r="H320" s="379">
        <f>-VLOOKUP($E320,Données!$B$708:$G$712,3,FALSE())*Données!D745*H$318</f>
        <v>0</v>
      </c>
      <c r="I320" s="379">
        <f>-VLOOKUP($F320,Données!$B$723:$G$726,5,FALSE())*Données!D745*VLOOKUP($E$318,Données!$B$740:$G$743,3,FALSE())*F$10*Données!D$697*(1-Données!D$700)</f>
        <v>0</v>
      </c>
      <c r="J320" s="380" t="e">
        <f>(E$18*IF(E320=Données!B$712,1,0)+F$18*IF(F320=Données!B$726,1,0))/(E$18+F$18)</f>
        <v>#DIV/0!</v>
      </c>
      <c r="K320" s="176"/>
      <c r="L320" s="141"/>
      <c r="M320" s="141"/>
      <c r="N320" s="141"/>
      <c r="O320" s="141"/>
      <c r="P320" s="141"/>
      <c r="Q320" s="141"/>
      <c r="R320" s="141"/>
      <c r="S320" s="141"/>
      <c r="T320" s="141"/>
      <c r="U320" s="141"/>
      <c r="V320" s="141"/>
      <c r="W320" s="141"/>
      <c r="X320" s="141"/>
      <c r="Y320" s="141"/>
      <c r="Z320" s="141"/>
      <c r="AA320" s="141"/>
      <c r="AB320" s="141"/>
      <c r="AC320" s="141"/>
      <c r="AD320" s="141"/>
      <c r="AE320" s="141"/>
      <c r="AF320" s="141"/>
      <c r="AG320" s="141"/>
      <c r="AH320" s="141"/>
      <c r="AI320" s="141"/>
      <c r="AJ320" s="141"/>
      <c r="AK320" s="141"/>
      <c r="AL320" s="141"/>
      <c r="AM320" s="141"/>
      <c r="AN320" s="141"/>
      <c r="AO320" s="141"/>
      <c r="AP320" s="141"/>
      <c r="AQ320" s="141"/>
      <c r="AR320" s="141"/>
      <c r="AS320" s="141"/>
      <c r="AT320" s="141"/>
      <c r="AU320" s="141"/>
      <c r="AV320" s="141"/>
      <c r="AW320" s="141"/>
      <c r="AX320" s="141"/>
      <c r="AY320" s="141"/>
      <c r="AZ320" s="141"/>
      <c r="BA320" s="141"/>
      <c r="BB320" s="141"/>
      <c r="BC320" s="141"/>
      <c r="BD320" s="141"/>
      <c r="BE320" s="141"/>
      <c r="BF320" s="141"/>
      <c r="BG320" s="141"/>
      <c r="BH320" s="141"/>
      <c r="BI320" s="141"/>
      <c r="BJ320" s="141"/>
      <c r="BK320" s="141"/>
      <c r="BL320" s="141"/>
      <c r="BM320" s="141"/>
    </row>
    <row r="321" spans="1:67" ht="16.5" hidden="1" customHeight="1" outlineLevel="2" x14ac:dyDescent="0.2">
      <c r="A321" s="133"/>
      <c r="B321" s="381"/>
      <c r="C321" s="376" t="s">
        <v>357</v>
      </c>
      <c r="D321" s="377"/>
      <c r="E321" s="1" t="s">
        <v>139</v>
      </c>
      <c r="F321" s="1" t="s">
        <v>139</v>
      </c>
      <c r="G321" s="378" t="s">
        <v>143</v>
      </c>
      <c r="H321" s="379">
        <f>-VLOOKUP($E321,Données!$B$713:$G$717,3,FALSE())*Données!D746*H$318</f>
        <v>0</v>
      </c>
      <c r="I321" s="379">
        <f>-VLOOKUP($F321,Données!$B$727:$G$730,5,FALSE())*Données!D746*VLOOKUP($E$318,Données!$B$740:$G$743,3,FALSE())*F$10*Données!D$697*(1-Données!D$700)</f>
        <v>0</v>
      </c>
      <c r="J321" s="380" t="e">
        <f>(E$18*IF(E321=Données!B$717,1,0)+F$18*IF(F321=Données!B$730,1,0))/(E$18+F$18)</f>
        <v>#DIV/0!</v>
      </c>
      <c r="K321" s="176"/>
      <c r="L321" s="141"/>
      <c r="M321" s="141"/>
      <c r="N321" s="141"/>
      <c r="O321" s="141"/>
      <c r="P321" s="141"/>
      <c r="Q321" s="141"/>
      <c r="R321" s="141"/>
      <c r="S321" s="141"/>
      <c r="T321" s="141"/>
      <c r="U321" s="141"/>
      <c r="V321" s="141"/>
      <c r="W321" s="141"/>
      <c r="X321" s="141"/>
      <c r="Y321" s="141"/>
      <c r="Z321" s="141"/>
      <c r="AA321" s="141"/>
      <c r="AB321" s="141"/>
      <c r="AC321" s="141"/>
      <c r="AD321" s="141"/>
      <c r="AE321" s="141"/>
      <c r="AF321" s="141"/>
      <c r="AG321" s="141"/>
      <c r="AH321" s="141"/>
      <c r="AI321" s="141"/>
      <c r="AJ321" s="141"/>
      <c r="AK321" s="141"/>
      <c r="AL321" s="141"/>
      <c r="AM321" s="141"/>
      <c r="AN321" s="141"/>
      <c r="AO321" s="141"/>
      <c r="AP321" s="141"/>
      <c r="AQ321" s="141"/>
      <c r="AR321" s="141"/>
      <c r="AS321" s="141"/>
      <c r="AT321" s="141"/>
      <c r="AU321" s="141"/>
      <c r="AV321" s="141"/>
      <c r="AW321" s="141"/>
      <c r="AX321" s="141"/>
      <c r="AY321" s="141"/>
      <c r="AZ321" s="141"/>
      <c r="BA321" s="141"/>
      <c r="BB321" s="141"/>
      <c r="BC321" s="141"/>
      <c r="BD321" s="141"/>
      <c r="BE321" s="141"/>
      <c r="BF321" s="141"/>
      <c r="BG321" s="141"/>
      <c r="BH321" s="141"/>
      <c r="BI321" s="141"/>
      <c r="BJ321" s="141"/>
      <c r="BK321" s="141"/>
      <c r="BL321" s="141"/>
      <c r="BM321" s="141"/>
    </row>
    <row r="322" spans="1:67" ht="13.5" hidden="1" outlineLevel="1" x14ac:dyDescent="0.2">
      <c r="A322" s="133"/>
      <c r="B322" s="216"/>
      <c r="C322" s="171"/>
      <c r="D322" s="178"/>
      <c r="E322" s="179"/>
      <c r="F322" s="179"/>
      <c r="G322" s="217"/>
      <c r="H322" s="144"/>
      <c r="I322" s="144"/>
      <c r="J322" s="163"/>
      <c r="K322" s="144"/>
      <c r="L322" s="141"/>
      <c r="M322" s="141"/>
      <c r="N322" s="141"/>
      <c r="O322" s="141"/>
      <c r="P322" s="141"/>
      <c r="Q322" s="141"/>
      <c r="R322" s="141"/>
      <c r="S322" s="141"/>
      <c r="T322" s="141"/>
      <c r="U322" s="141"/>
      <c r="V322" s="141"/>
      <c r="W322" s="141"/>
      <c r="X322" s="141"/>
      <c r="Y322" s="141"/>
      <c r="Z322" s="141"/>
      <c r="AA322" s="141"/>
      <c r="AB322" s="141"/>
      <c r="AC322" s="141"/>
      <c r="AD322" s="141"/>
      <c r="AE322" s="141"/>
      <c r="AF322" s="141"/>
      <c r="AG322" s="141"/>
      <c r="AH322" s="141"/>
      <c r="AI322" s="141"/>
      <c r="AJ322" s="141"/>
      <c r="AK322" s="141"/>
      <c r="AL322" s="141"/>
      <c r="AM322" s="141"/>
      <c r="AN322" s="141"/>
      <c r="AO322" s="141"/>
      <c r="AP322" s="141"/>
      <c r="AQ322" s="141"/>
      <c r="AR322" s="141"/>
      <c r="AS322" s="141"/>
      <c r="AT322" s="141"/>
      <c r="AU322" s="141"/>
      <c r="AV322" s="141"/>
      <c r="AW322" s="141"/>
      <c r="AX322" s="141"/>
      <c r="AY322" s="141"/>
      <c r="AZ322" s="141"/>
      <c r="BA322" s="141"/>
      <c r="BB322" s="141"/>
      <c r="BC322" s="141"/>
      <c r="BD322" s="141"/>
      <c r="BE322" s="141"/>
      <c r="BF322" s="141"/>
      <c r="BG322" s="141"/>
      <c r="BH322" s="141"/>
      <c r="BI322" s="141"/>
      <c r="BJ322" s="141"/>
      <c r="BK322" s="141"/>
      <c r="BL322" s="141"/>
      <c r="BM322" s="141"/>
    </row>
    <row r="323" spans="1:67" s="6" customFormat="1" ht="16.5" hidden="1" customHeight="1" outlineLevel="1" x14ac:dyDescent="0.2">
      <c r="A323" s="133"/>
      <c r="B323" s="362" t="s">
        <v>360</v>
      </c>
      <c r="C323" s="363" t="str">
        <f>CONCATENATE("des ",PROJET!C$10)</f>
        <v>des Bureaux</v>
      </c>
      <c r="D323" s="364" t="s">
        <v>361</v>
      </c>
      <c r="E323" s="382"/>
      <c r="F323" s="382"/>
      <c r="G323" s="366"/>
      <c r="H323" s="367"/>
      <c r="I323" s="367"/>
      <c r="J323" s="383"/>
      <c r="K323" s="369"/>
      <c r="L323" s="141"/>
      <c r="M323" s="141"/>
      <c r="N323" s="141"/>
      <c r="O323" s="141"/>
      <c r="P323" s="141"/>
      <c r="Q323" s="141"/>
      <c r="R323" s="141"/>
      <c r="S323" s="141"/>
      <c r="T323" s="141"/>
      <c r="U323" s="141"/>
      <c r="V323" s="141"/>
      <c r="W323" s="141"/>
      <c r="X323" s="141"/>
      <c r="Y323" s="141"/>
      <c r="Z323" s="141"/>
      <c r="AA323" s="141"/>
      <c r="AB323" s="141"/>
      <c r="AC323" s="141"/>
      <c r="AD323" s="141"/>
      <c r="AE323" s="141"/>
      <c r="AF323" s="141"/>
      <c r="AG323" s="141"/>
      <c r="AH323" s="141"/>
      <c r="AI323" s="141"/>
      <c r="AJ323" s="141"/>
      <c r="AK323" s="141"/>
      <c r="AL323" s="141"/>
      <c r="AM323" s="141"/>
      <c r="AN323" s="141"/>
      <c r="AO323" s="141"/>
      <c r="AP323" s="141"/>
      <c r="AQ323" s="141"/>
      <c r="AR323" s="141"/>
      <c r="AS323" s="141"/>
      <c r="AT323" s="141"/>
      <c r="AU323" s="141"/>
      <c r="AV323" s="141"/>
      <c r="AW323" s="141"/>
      <c r="AX323" s="141"/>
      <c r="AY323" s="141"/>
      <c r="AZ323" s="141"/>
      <c r="BA323" s="141"/>
      <c r="BB323" s="141"/>
      <c r="BC323" s="141"/>
      <c r="BD323" s="141"/>
      <c r="BE323" s="141"/>
      <c r="BF323" s="141"/>
      <c r="BG323" s="141"/>
      <c r="BH323" s="141"/>
      <c r="BI323" s="141"/>
      <c r="BJ323" s="141"/>
      <c r="BK323" s="141"/>
      <c r="BL323" s="141"/>
      <c r="BM323" s="141"/>
      <c r="BN323" s="113"/>
      <c r="BO323" s="113"/>
    </row>
    <row r="324" spans="1:67" ht="16.5" hidden="1" customHeight="1" outlineLevel="2" x14ac:dyDescent="0.2">
      <c r="A324" s="133"/>
      <c r="B324" s="370"/>
      <c r="C324" s="371" t="s">
        <v>354</v>
      </c>
      <c r="D324" s="372"/>
      <c r="E324" s="701" t="s">
        <v>139</v>
      </c>
      <c r="F324" s="701"/>
      <c r="G324" s="373" t="s">
        <v>143</v>
      </c>
      <c r="H324" s="374">
        <f>IF(PROJET!C$10='Data-Liste'!$F$4,VLOOKUP($E324,Données!$B$748:$G$751,3,FALSE()),VLOOKUP($E324,Données!$B$752:$G$755,3,FALSE()))*E$11*Données!D$698*(1-Données!D$700)</f>
        <v>0</v>
      </c>
      <c r="I324" s="374">
        <v>0</v>
      </c>
      <c r="J324" s="375">
        <f>IF(E324=Données!B749,2,IF(E324=Données!B750,1,0))</f>
        <v>0</v>
      </c>
      <c r="K324" s="203"/>
      <c r="L324" s="141"/>
      <c r="M324" s="141"/>
      <c r="N324" s="141"/>
      <c r="O324" s="141"/>
      <c r="P324" s="141"/>
      <c r="Q324" s="141"/>
      <c r="R324" s="141"/>
      <c r="S324" s="141"/>
      <c r="T324" s="141"/>
      <c r="U324" s="141"/>
      <c r="V324" s="141"/>
      <c r="W324" s="141"/>
      <c r="X324" s="141"/>
      <c r="Y324" s="141"/>
      <c r="Z324" s="141"/>
      <c r="AA324" s="141"/>
      <c r="AB324" s="141"/>
      <c r="AC324" s="141"/>
      <c r="AD324" s="141"/>
      <c r="AE324" s="141"/>
      <c r="AF324" s="141"/>
      <c r="AG324" s="141"/>
      <c r="AH324" s="141"/>
      <c r="AI324" s="141"/>
      <c r="AJ324" s="141"/>
      <c r="AK324" s="141"/>
      <c r="AL324" s="141"/>
      <c r="AM324" s="141"/>
      <c r="AN324" s="141"/>
      <c r="AO324" s="141"/>
      <c r="AP324" s="141"/>
      <c r="AQ324" s="141"/>
      <c r="AR324" s="141"/>
      <c r="AS324" s="141"/>
      <c r="AT324" s="141"/>
      <c r="AU324" s="141"/>
      <c r="AV324" s="141"/>
      <c r="AW324" s="141"/>
      <c r="AX324" s="141"/>
      <c r="AY324" s="141"/>
      <c r="AZ324" s="141"/>
      <c r="BA324" s="141"/>
      <c r="BB324" s="141"/>
      <c r="BC324" s="141"/>
      <c r="BD324" s="141"/>
      <c r="BE324" s="141"/>
      <c r="BF324" s="141"/>
      <c r="BG324" s="141"/>
      <c r="BH324" s="141"/>
      <c r="BI324" s="141"/>
      <c r="BJ324" s="141"/>
      <c r="BK324" s="141"/>
      <c r="BL324" s="141"/>
      <c r="BM324" s="141"/>
    </row>
    <row r="325" spans="1:67" ht="16.5" hidden="1" customHeight="1" outlineLevel="2" x14ac:dyDescent="0.2">
      <c r="A325" s="133"/>
      <c r="B325" s="370"/>
      <c r="C325" s="376" t="s">
        <v>355</v>
      </c>
      <c r="D325" s="377"/>
      <c r="E325" s="1" t="s">
        <v>139</v>
      </c>
      <c r="F325" s="1" t="s">
        <v>139</v>
      </c>
      <c r="G325" s="378" t="s">
        <v>143</v>
      </c>
      <c r="H325" s="379">
        <f>-VLOOKUP($E325,Données!$B$703:$G$707,3,FALSE())*Données!D756*H$324</f>
        <v>0</v>
      </c>
      <c r="I325" s="379">
        <f>-VLOOKUP($F325,Données!$B$719:$G$722,5,FALSE())*Données!D756*IF($C$323='Data-Liste'!$F$4,VLOOKUP($E324,Données!$B$748:$G$751,3,FALSE()),VLOOKUP($E324,Données!$B$752:$G$755,3,FALSE()))*F$11*Données!D$698*(1-Données!D$700)</f>
        <v>0</v>
      </c>
      <c r="J325" s="380" t="e">
        <f>(E$18*IF(E325=Données!B$707,1,0)+F$18*IF(F325=Données!B$722,1,0))/(E$18+F$18)</f>
        <v>#DIV/0!</v>
      </c>
      <c r="K325" s="176"/>
      <c r="L325" s="141"/>
      <c r="M325" s="141"/>
      <c r="N325" s="141"/>
      <c r="O325" s="141"/>
      <c r="P325" s="141"/>
      <c r="Q325" s="141"/>
      <c r="R325" s="141"/>
      <c r="S325" s="141"/>
      <c r="T325" s="141"/>
      <c r="U325" s="141"/>
      <c r="V325" s="141"/>
      <c r="W325" s="141"/>
      <c r="X325" s="141"/>
      <c r="Y325" s="141"/>
      <c r="Z325" s="141"/>
      <c r="AA325" s="141"/>
      <c r="AB325" s="141"/>
      <c r="AC325" s="141"/>
      <c r="AD325" s="141"/>
      <c r="AE325" s="141"/>
      <c r="AF325" s="141"/>
      <c r="AG325" s="141"/>
      <c r="AH325" s="141"/>
      <c r="AI325" s="141"/>
      <c r="AJ325" s="141"/>
      <c r="AK325" s="141"/>
      <c r="AL325" s="141"/>
      <c r="AM325" s="141"/>
      <c r="AN325" s="141"/>
      <c r="AO325" s="141"/>
      <c r="AP325" s="141"/>
      <c r="AQ325" s="141"/>
      <c r="AR325" s="141"/>
      <c r="AS325" s="141"/>
      <c r="AT325" s="141"/>
      <c r="AU325" s="141"/>
      <c r="AV325" s="141"/>
      <c r="AW325" s="141"/>
      <c r="AX325" s="141"/>
      <c r="AY325" s="141"/>
      <c r="AZ325" s="141"/>
      <c r="BA325" s="141"/>
      <c r="BB325" s="141"/>
      <c r="BC325" s="141"/>
      <c r="BD325" s="141"/>
      <c r="BE325" s="141"/>
      <c r="BF325" s="141"/>
      <c r="BG325" s="141"/>
      <c r="BH325" s="141"/>
      <c r="BI325" s="141"/>
      <c r="BJ325" s="141"/>
      <c r="BK325" s="141"/>
      <c r="BL325" s="141"/>
      <c r="BM325" s="141"/>
    </row>
    <row r="326" spans="1:67" ht="16.5" hidden="1" customHeight="1" outlineLevel="2" x14ac:dyDescent="0.2">
      <c r="A326" s="133"/>
      <c r="B326" s="370"/>
      <c r="C326" s="376" t="s">
        <v>356</v>
      </c>
      <c r="D326" s="377"/>
      <c r="E326" s="1" t="s">
        <v>139</v>
      </c>
      <c r="F326" s="1" t="s">
        <v>139</v>
      </c>
      <c r="G326" s="378" t="s">
        <v>143</v>
      </c>
      <c r="H326" s="379">
        <f>-VLOOKUP($E326,Données!$B$708:$G$712,3,FALSE())*Données!D757*H$324</f>
        <v>0</v>
      </c>
      <c r="I326" s="379">
        <f>-VLOOKUP($F326,Données!$B$723:$G$726,5,FALSE())*Données!D757*IF($C$323='Data-Liste'!$F$4,VLOOKUP($E324,Données!$B$748:$G$751,3,FALSE()),VLOOKUP($E324,Données!$B$752:$G$755,3,FALSE()))*F$11*Données!D$698*(1-Données!D$700)</f>
        <v>0</v>
      </c>
      <c r="J326" s="380" t="e">
        <f>(E$18*IF(E326=Données!B$712,1,0)+F$18*IF(F326=Données!B$726,1,0))/(E$18+F$18)</f>
        <v>#DIV/0!</v>
      </c>
      <c r="K326" s="176"/>
      <c r="L326" s="141"/>
      <c r="M326" s="141"/>
      <c r="N326" s="141"/>
      <c r="O326" s="141"/>
      <c r="P326" s="141"/>
      <c r="Q326" s="141"/>
      <c r="R326" s="141"/>
      <c r="S326" s="141"/>
      <c r="T326" s="141"/>
      <c r="U326" s="141"/>
      <c r="V326" s="141"/>
      <c r="W326" s="141"/>
      <c r="X326" s="141"/>
      <c r="Y326" s="141"/>
      <c r="Z326" s="141"/>
      <c r="AA326" s="141"/>
      <c r="AB326" s="141"/>
      <c r="AC326" s="141"/>
      <c r="AD326" s="141"/>
      <c r="AE326" s="141"/>
      <c r="AF326" s="141"/>
      <c r="AG326" s="141"/>
      <c r="AH326" s="141"/>
      <c r="AI326" s="141"/>
      <c r="AJ326" s="141"/>
      <c r="AK326" s="141"/>
      <c r="AL326" s="141"/>
      <c r="AM326" s="141"/>
      <c r="AN326" s="141"/>
      <c r="AO326" s="141"/>
      <c r="AP326" s="141"/>
      <c r="AQ326" s="141"/>
      <c r="AR326" s="141"/>
      <c r="AS326" s="141"/>
      <c r="AT326" s="141"/>
      <c r="AU326" s="141"/>
      <c r="AV326" s="141"/>
      <c r="AW326" s="141"/>
      <c r="AX326" s="141"/>
      <c r="AY326" s="141"/>
      <c r="AZ326" s="141"/>
      <c r="BA326" s="141"/>
      <c r="BB326" s="141"/>
      <c r="BC326" s="141"/>
      <c r="BD326" s="141"/>
      <c r="BE326" s="141"/>
      <c r="BF326" s="141"/>
      <c r="BG326" s="141"/>
      <c r="BH326" s="141"/>
      <c r="BI326" s="141"/>
      <c r="BJ326" s="141"/>
      <c r="BK326" s="141"/>
      <c r="BL326" s="141"/>
      <c r="BM326" s="141"/>
    </row>
    <row r="327" spans="1:67" ht="16.5" hidden="1" customHeight="1" outlineLevel="2" x14ac:dyDescent="0.2">
      <c r="A327" s="133"/>
      <c r="B327" s="381"/>
      <c r="C327" s="376" t="s">
        <v>357</v>
      </c>
      <c r="D327" s="377"/>
      <c r="E327" s="1" t="s">
        <v>139</v>
      </c>
      <c r="F327" s="1" t="s">
        <v>139</v>
      </c>
      <c r="G327" s="378" t="s">
        <v>143</v>
      </c>
      <c r="H327" s="379">
        <f>-VLOOKUP($E327,Données!$B$713:$G$717,3,FALSE())*Données!D758*H$324</f>
        <v>0</v>
      </c>
      <c r="I327" s="379">
        <f>-VLOOKUP($F327,Données!$B$727:$G$730,5,FALSE())*Données!D758*IF($C$323='Data-Liste'!$F$4,VLOOKUP($E324,Données!$B$748:$G$751,3,FALSE()),VLOOKUP($E324,Données!$B$752:$G$755,3,FALSE()))*F$11*Données!D$698*(1-Données!D$700)</f>
        <v>0</v>
      </c>
      <c r="J327" s="380" t="e">
        <f>(E$18*IF(E327=Données!B$717,1,0)+F$18*IF(F327=Données!B$730,1,0))/(E$18+F$18)</f>
        <v>#DIV/0!</v>
      </c>
      <c r="K327" s="176"/>
      <c r="L327" s="141"/>
      <c r="M327" s="141"/>
      <c r="N327" s="141"/>
      <c r="O327" s="141"/>
      <c r="P327" s="141"/>
      <c r="Q327" s="141"/>
      <c r="R327" s="141"/>
      <c r="S327" s="141"/>
      <c r="T327" s="141"/>
      <c r="U327" s="141"/>
      <c r="V327" s="141"/>
      <c r="W327" s="141"/>
      <c r="X327" s="141"/>
      <c r="Y327" s="141"/>
      <c r="Z327" s="141"/>
      <c r="AA327" s="141"/>
      <c r="AB327" s="141"/>
      <c r="AC327" s="141"/>
      <c r="AD327" s="141"/>
      <c r="AE327" s="141"/>
      <c r="AF327" s="141"/>
      <c r="AG327" s="141"/>
      <c r="AH327" s="141"/>
      <c r="AI327" s="141"/>
      <c r="AJ327" s="141"/>
      <c r="AK327" s="141"/>
      <c r="AL327" s="141"/>
      <c r="AM327" s="141"/>
      <c r="AN327" s="141"/>
      <c r="AO327" s="141"/>
      <c r="AP327" s="141"/>
      <c r="AQ327" s="141"/>
      <c r="AR327" s="141"/>
      <c r="AS327" s="141"/>
      <c r="AT327" s="141"/>
      <c r="AU327" s="141"/>
      <c r="AV327" s="141"/>
      <c r="AW327" s="141"/>
      <c r="AX327" s="141"/>
      <c r="AY327" s="141"/>
      <c r="AZ327" s="141"/>
      <c r="BA327" s="141"/>
      <c r="BB327" s="141"/>
      <c r="BC327" s="141"/>
      <c r="BD327" s="141"/>
      <c r="BE327" s="141"/>
      <c r="BF327" s="141"/>
      <c r="BG327" s="141"/>
      <c r="BH327" s="141"/>
      <c r="BI327" s="141"/>
      <c r="BJ327" s="141"/>
      <c r="BK327" s="141"/>
      <c r="BL327" s="141"/>
      <c r="BM327" s="141"/>
    </row>
    <row r="328" spans="1:67" ht="13.5" hidden="1" outlineLevel="1" x14ac:dyDescent="0.2">
      <c r="A328" s="133"/>
      <c r="B328" s="216"/>
      <c r="C328" s="171"/>
      <c r="D328" s="178"/>
      <c r="E328" s="179"/>
      <c r="F328" s="179"/>
      <c r="G328" s="217"/>
      <c r="H328" s="144"/>
      <c r="I328" s="144"/>
      <c r="J328" s="163"/>
      <c r="K328" s="144"/>
      <c r="L328" s="141"/>
      <c r="M328" s="141"/>
      <c r="N328" s="141"/>
      <c r="O328" s="141"/>
      <c r="P328" s="141"/>
      <c r="Q328" s="141"/>
      <c r="R328" s="141"/>
      <c r="S328" s="141"/>
      <c r="T328" s="141"/>
      <c r="U328" s="141"/>
      <c r="V328" s="141"/>
      <c r="W328" s="141"/>
      <c r="X328" s="141"/>
      <c r="Y328" s="141"/>
      <c r="Z328" s="141"/>
      <c r="AA328" s="141"/>
      <c r="AB328" s="141"/>
      <c r="AC328" s="141"/>
      <c r="AD328" s="141"/>
      <c r="AE328" s="141"/>
      <c r="AF328" s="141"/>
      <c r="AG328" s="141"/>
      <c r="AH328" s="141"/>
      <c r="AI328" s="141"/>
      <c r="AJ328" s="141"/>
      <c r="AK328" s="141"/>
      <c r="AL328" s="141"/>
      <c r="AM328" s="141"/>
      <c r="AN328" s="141"/>
      <c r="AO328" s="141"/>
      <c r="AP328" s="141"/>
      <c r="AQ328" s="141"/>
      <c r="AR328" s="141"/>
      <c r="AS328" s="141"/>
      <c r="AT328" s="141"/>
      <c r="AU328" s="141"/>
      <c r="AV328" s="141"/>
      <c r="AW328" s="141"/>
      <c r="AX328" s="141"/>
      <c r="AY328" s="141"/>
      <c r="AZ328" s="141"/>
      <c r="BA328" s="141"/>
      <c r="BB328" s="141"/>
      <c r="BC328" s="141"/>
      <c r="BD328" s="141"/>
      <c r="BE328" s="141"/>
      <c r="BF328" s="141"/>
      <c r="BG328" s="141"/>
      <c r="BH328" s="141"/>
      <c r="BI328" s="141"/>
      <c r="BJ328" s="141"/>
      <c r="BK328" s="141"/>
      <c r="BL328" s="141"/>
      <c r="BM328" s="141"/>
    </row>
    <row r="329" spans="1:67" ht="16.5" hidden="1" customHeight="1" outlineLevel="1" x14ac:dyDescent="0.2">
      <c r="A329" s="133"/>
      <c r="B329" s="362" t="s">
        <v>362</v>
      </c>
      <c r="C329" s="363" t="str">
        <f>CONCATENATE("des ",PROJET!C$10)</f>
        <v>des Bureaux</v>
      </c>
      <c r="D329" s="364" t="s">
        <v>363</v>
      </c>
      <c r="E329" s="382"/>
      <c r="F329" s="382"/>
      <c r="G329" s="366"/>
      <c r="H329" s="367"/>
      <c r="I329" s="367"/>
      <c r="J329" s="383"/>
      <c r="K329" s="369"/>
      <c r="L329" s="141"/>
      <c r="M329" s="141"/>
      <c r="N329" s="141"/>
      <c r="O329" s="141"/>
      <c r="P329" s="141"/>
      <c r="Q329" s="141"/>
      <c r="R329" s="141"/>
      <c r="S329" s="141"/>
      <c r="T329" s="141"/>
      <c r="U329" s="141"/>
      <c r="V329" s="141"/>
      <c r="W329" s="141"/>
      <c r="X329" s="141"/>
      <c r="Y329" s="141"/>
      <c r="Z329" s="141"/>
      <c r="AA329" s="141"/>
      <c r="AB329" s="141"/>
      <c r="AC329" s="141"/>
      <c r="AD329" s="141"/>
      <c r="AE329" s="141"/>
      <c r="AF329" s="141"/>
      <c r="AG329" s="141"/>
      <c r="AH329" s="141"/>
      <c r="AI329" s="141"/>
      <c r="AJ329" s="141"/>
      <c r="AK329" s="141"/>
      <c r="AL329" s="141"/>
      <c r="AM329" s="141"/>
      <c r="AN329" s="141"/>
      <c r="AO329" s="141"/>
      <c r="AP329" s="141"/>
      <c r="AQ329" s="141"/>
      <c r="AR329" s="141"/>
      <c r="AS329" s="141"/>
      <c r="AT329" s="141"/>
      <c r="AU329" s="141"/>
      <c r="AV329" s="141"/>
      <c r="AW329" s="141"/>
      <c r="AX329" s="141"/>
      <c r="AY329" s="141"/>
      <c r="AZ329" s="141"/>
      <c r="BA329" s="141"/>
      <c r="BB329" s="141"/>
      <c r="BC329" s="141"/>
      <c r="BD329" s="141"/>
      <c r="BE329" s="141"/>
      <c r="BF329" s="141"/>
      <c r="BG329" s="141"/>
      <c r="BH329" s="141"/>
      <c r="BI329" s="141"/>
      <c r="BJ329" s="141"/>
      <c r="BK329" s="141"/>
      <c r="BL329" s="141"/>
      <c r="BM329" s="141"/>
    </row>
    <row r="330" spans="1:67" ht="16.5" hidden="1" customHeight="1" outlineLevel="2" x14ac:dyDescent="0.2">
      <c r="B330" s="384"/>
      <c r="C330" s="371" t="s">
        <v>354</v>
      </c>
      <c r="D330" s="372"/>
      <c r="E330" s="701" t="s">
        <v>139</v>
      </c>
      <c r="F330" s="701"/>
      <c r="G330" s="373" t="s">
        <v>143</v>
      </c>
      <c r="H330" s="374">
        <f>VLOOKUP($E330,Données!$B$760:$G$763,3,FALSE())*E$12*Données!D$697/Données!D$701</f>
        <v>0</v>
      </c>
      <c r="I330" s="374">
        <v>0</v>
      </c>
      <c r="J330" s="375">
        <f>IF(E330=Données!B761,2,IF(E330=Données!B762,1,0))</f>
        <v>0</v>
      </c>
      <c r="K330" s="203"/>
      <c r="L330" s="109"/>
      <c r="M330" s="109"/>
      <c r="N330" s="109"/>
      <c r="O330" s="109"/>
      <c r="P330" s="109"/>
      <c r="Q330" s="109"/>
      <c r="R330" s="109"/>
      <c r="S330" s="109"/>
    </row>
    <row r="331" spans="1:67" ht="16.5" hidden="1" customHeight="1" outlineLevel="2" x14ac:dyDescent="0.2">
      <c r="B331" s="384"/>
      <c r="C331" s="376" t="s">
        <v>355</v>
      </c>
      <c r="D331" s="377"/>
      <c r="E331" s="1" t="s">
        <v>139</v>
      </c>
      <c r="F331" s="1" t="s">
        <v>139</v>
      </c>
      <c r="G331" s="378" t="s">
        <v>143</v>
      </c>
      <c r="H331" s="379">
        <f>-VLOOKUP($E331,Données!$B$703:$G$707,3,FALSE())*Données!D764*H$330</f>
        <v>0</v>
      </c>
      <c r="I331" s="379">
        <f>-VLOOKUP($F331,Données!$B$719:$G$722,5,FALSE())*Données!D764*VLOOKUP($E$330,Données!$B$760:$G$763,3,FALSE())*F$12*Données!D$697/Données!D$701</f>
        <v>0</v>
      </c>
      <c r="J331" s="380" t="e">
        <f>(E$18*IF(E331=Données!B$707,1,0)+F$18*IF(F331=Données!B$722,1,0))/(E$18+F$18)</f>
        <v>#DIV/0!</v>
      </c>
      <c r="K331" s="176"/>
      <c r="L331" s="109"/>
      <c r="M331" s="109"/>
      <c r="N331" s="109"/>
      <c r="O331" s="109"/>
      <c r="P331" s="109"/>
      <c r="Q331" s="109"/>
      <c r="R331" s="109"/>
      <c r="S331" s="109"/>
    </row>
    <row r="332" spans="1:67" ht="16.5" hidden="1" customHeight="1" outlineLevel="2" x14ac:dyDescent="0.2">
      <c r="B332" s="385"/>
      <c r="C332" s="376" t="s">
        <v>356</v>
      </c>
      <c r="D332" s="377"/>
      <c r="E332" s="1" t="s">
        <v>139</v>
      </c>
      <c r="F332" s="1" t="s">
        <v>139</v>
      </c>
      <c r="G332" s="378" t="s">
        <v>143</v>
      </c>
      <c r="H332" s="386">
        <f>-VLOOKUP($E332,Données!$B$708:$G$712,3,FALSE())*Données!D765*H$330</f>
        <v>0</v>
      </c>
      <c r="I332" s="386">
        <f>-VLOOKUP($F332,Données!$B$723:$G$726,5,FALSE())*Données!D765*VLOOKUP($E$330,Données!$B$760:$G$763,3,FALSE())*F$12*Données!D$697/Données!D$701</f>
        <v>0</v>
      </c>
      <c r="J332" s="380" t="e">
        <f>(E$18*IF(E332=Données!B$712,1,0)+F$18*IF(F332=Données!B$726,1,0))/(E$18+F$18)</f>
        <v>#DIV/0!</v>
      </c>
      <c r="K332" s="232"/>
      <c r="L332" s="387"/>
      <c r="M332" s="387"/>
      <c r="N332" s="387"/>
      <c r="O332" s="387"/>
      <c r="P332" s="387"/>
      <c r="Q332" s="387"/>
      <c r="R332" s="387"/>
      <c r="S332" s="387"/>
      <c r="T332" s="387"/>
      <c r="U332" s="387"/>
      <c r="V332" s="387"/>
      <c r="W332" s="387"/>
      <c r="X332" s="387"/>
      <c r="Y332" s="387"/>
      <c r="Z332" s="387"/>
      <c r="AA332" s="387"/>
      <c r="AB332" s="387"/>
      <c r="AC332" s="387"/>
      <c r="AD332" s="387"/>
      <c r="AE332" s="387"/>
      <c r="AF332" s="387"/>
      <c r="AG332" s="387"/>
      <c r="AH332" s="387"/>
      <c r="AI332" s="387"/>
      <c r="AJ332" s="387"/>
      <c r="AK332" s="387"/>
      <c r="AL332" s="387"/>
      <c r="AM332" s="387"/>
      <c r="AN332" s="387"/>
      <c r="AO332" s="387"/>
      <c r="AP332" s="387"/>
      <c r="AQ332" s="387"/>
      <c r="AR332" s="387"/>
      <c r="AS332" s="387"/>
      <c r="AT332" s="387"/>
      <c r="AU332" s="387"/>
      <c r="AV332" s="387"/>
      <c r="AW332" s="387"/>
      <c r="AX332" s="387"/>
      <c r="AY332" s="387"/>
      <c r="AZ332" s="387"/>
      <c r="BA332" s="387"/>
      <c r="BB332" s="387"/>
      <c r="BC332" s="387"/>
      <c r="BD332" s="387"/>
      <c r="BE332" s="387"/>
      <c r="BF332" s="387"/>
      <c r="BG332" s="387"/>
      <c r="BH332" s="387"/>
      <c r="BI332" s="387"/>
      <c r="BJ332" s="387"/>
      <c r="BK332" s="387"/>
      <c r="BL332" s="387"/>
      <c r="BM332" s="387"/>
    </row>
    <row r="333" spans="1:67" ht="16.5" hidden="1" customHeight="1" outlineLevel="2" x14ac:dyDescent="0.2">
      <c r="B333" s="388"/>
      <c r="C333" s="376" t="s">
        <v>357</v>
      </c>
      <c r="D333" s="377"/>
      <c r="E333" s="1" t="s">
        <v>139</v>
      </c>
      <c r="F333" s="1" t="s">
        <v>139</v>
      </c>
      <c r="G333" s="378" t="s">
        <v>143</v>
      </c>
      <c r="H333" s="386">
        <f>-VLOOKUP($E333,Données!$B$713:$G$717,3,FALSE())*Données!D766*H$330</f>
        <v>0</v>
      </c>
      <c r="I333" s="386">
        <f>-VLOOKUP($F333,Données!$B$727:$G$730,5,FALSE())*Données!D766*VLOOKUP($E$330,Données!$B$760:$G$763,3,FALSE())*F$12*Données!D$697/Données!D$701</f>
        <v>0</v>
      </c>
      <c r="J333" s="380" t="e">
        <f>(E$18*IF(E333=Données!B$717,1,0)+F$18*IF(F333=Données!B$730,1,0))/(E$18+F$18)</f>
        <v>#DIV/0!</v>
      </c>
      <c r="K333" s="232"/>
      <c r="L333" s="387"/>
      <c r="M333" s="387"/>
      <c r="N333" s="387"/>
      <c r="O333" s="387"/>
      <c r="P333" s="387"/>
      <c r="Q333" s="387"/>
      <c r="R333" s="387"/>
      <c r="S333" s="387"/>
      <c r="T333" s="387"/>
      <c r="U333" s="387"/>
      <c r="V333" s="387"/>
      <c r="W333" s="387"/>
      <c r="X333" s="387"/>
      <c r="Y333" s="387"/>
      <c r="Z333" s="387"/>
      <c r="AA333" s="387"/>
      <c r="AB333" s="387"/>
      <c r="AC333" s="387"/>
      <c r="AD333" s="387"/>
      <c r="AE333" s="387"/>
      <c r="AF333" s="387"/>
      <c r="AG333" s="387"/>
      <c r="AH333" s="387"/>
      <c r="AI333" s="387"/>
      <c r="AJ333" s="387"/>
      <c r="AK333" s="387"/>
      <c r="AL333" s="387"/>
      <c r="AM333" s="387"/>
      <c r="AN333" s="387"/>
      <c r="AO333" s="387"/>
      <c r="AP333" s="387"/>
      <c r="AQ333" s="387"/>
      <c r="AR333" s="387"/>
      <c r="AS333" s="387"/>
      <c r="AT333" s="387"/>
      <c r="AU333" s="387"/>
      <c r="AV333" s="387"/>
      <c r="AW333" s="387"/>
      <c r="AX333" s="387"/>
      <c r="AY333" s="387"/>
      <c r="AZ333" s="387"/>
      <c r="BA333" s="387"/>
      <c r="BB333" s="387"/>
      <c r="BC333" s="387"/>
      <c r="BD333" s="387"/>
      <c r="BE333" s="387"/>
      <c r="BF333" s="387"/>
      <c r="BG333" s="387"/>
      <c r="BH333" s="387"/>
      <c r="BI333" s="387"/>
      <c r="BJ333" s="387"/>
      <c r="BK333" s="387"/>
      <c r="BL333" s="387"/>
      <c r="BM333" s="387"/>
    </row>
    <row r="334" spans="1:67" hidden="1" outlineLevel="1" x14ac:dyDescent="0.2">
      <c r="B334" s="140"/>
      <c r="C334" s="141"/>
      <c r="D334" s="142"/>
      <c r="E334" s="141"/>
      <c r="F334" s="143"/>
      <c r="G334" s="142"/>
      <c r="H334" s="144"/>
      <c r="I334" s="144"/>
      <c r="J334" s="144"/>
      <c r="K334" s="141"/>
      <c r="L334" s="109"/>
      <c r="M334" s="109"/>
      <c r="N334" s="109"/>
      <c r="O334" s="109"/>
      <c r="P334" s="109"/>
      <c r="Q334" s="109"/>
      <c r="R334" s="109"/>
      <c r="S334" s="109"/>
    </row>
    <row r="335" spans="1:67" ht="38.25" customHeight="1" collapsed="1" x14ac:dyDescent="0.2">
      <c r="A335" s="145"/>
      <c r="B335" s="389" t="s">
        <v>364</v>
      </c>
      <c r="C335" s="390"/>
      <c r="D335" s="391" t="str">
        <f>D$7</f>
        <v>GUIDE</v>
      </c>
      <c r="E335" s="392" t="str">
        <f>E$7</f>
        <v>BATIMENT(S) NEUF(S)
OU EXTENSION(S)</v>
      </c>
      <c r="F335" s="392" t="str">
        <f>F$7</f>
        <v>BATIMENT(S)
RENOVÉ(S)</v>
      </c>
      <c r="G335" s="393" t="s">
        <v>93</v>
      </c>
      <c r="H335" s="394" t="s">
        <v>245</v>
      </c>
      <c r="I335" s="394" t="s">
        <v>246</v>
      </c>
      <c r="J335" s="395" t="s">
        <v>365</v>
      </c>
      <c r="K335" s="391" t="str">
        <f>K$7</f>
        <v>COMMENTAIRE</v>
      </c>
      <c r="L335" s="139"/>
      <c r="M335" s="139"/>
      <c r="N335" s="139"/>
      <c r="O335" s="139"/>
      <c r="P335" s="139"/>
      <c r="Q335" s="139"/>
      <c r="R335" s="139"/>
      <c r="S335" s="139"/>
      <c r="T335" s="139"/>
      <c r="U335" s="139"/>
      <c r="V335" s="139"/>
      <c r="W335" s="139"/>
      <c r="X335" s="139"/>
      <c r="Y335" s="139"/>
      <c r="Z335" s="139"/>
      <c r="AA335" s="139"/>
      <c r="AB335" s="139"/>
      <c r="AC335" s="139"/>
      <c r="AD335" s="139"/>
      <c r="AE335" s="139"/>
      <c r="AF335" s="139"/>
      <c r="AG335" s="139"/>
      <c r="AH335" s="139"/>
      <c r="AI335" s="139"/>
      <c r="AJ335" s="139"/>
      <c r="AK335" s="139"/>
      <c r="AL335" s="139"/>
      <c r="AM335" s="139"/>
      <c r="AN335" s="139"/>
      <c r="AO335" s="139"/>
      <c r="AP335" s="139"/>
      <c r="AQ335" s="139"/>
      <c r="AR335" s="139"/>
      <c r="AS335" s="139"/>
      <c r="AT335" s="139"/>
      <c r="AU335" s="139"/>
      <c r="AV335" s="139"/>
      <c r="AW335" s="139"/>
      <c r="AX335" s="139"/>
      <c r="AY335" s="139"/>
      <c r="AZ335" s="139"/>
      <c r="BA335" s="139"/>
      <c r="BB335" s="139"/>
      <c r="BC335" s="139"/>
      <c r="BD335" s="139"/>
      <c r="BE335" s="139"/>
      <c r="BF335" s="139"/>
      <c r="BG335" s="139"/>
      <c r="BH335" s="139"/>
      <c r="BI335" s="139"/>
      <c r="BJ335" s="139"/>
      <c r="BK335" s="139"/>
      <c r="BL335" s="139"/>
      <c r="BM335" s="139"/>
      <c r="BN335" s="6"/>
      <c r="BO335" s="6"/>
    </row>
    <row r="336" spans="1:67" ht="6.75" customHeight="1" x14ac:dyDescent="0.2">
      <c r="B336" s="140"/>
      <c r="C336" s="141"/>
      <c r="D336" s="142"/>
      <c r="E336" s="141"/>
      <c r="F336" s="143"/>
      <c r="G336" s="142"/>
      <c r="H336" s="144"/>
      <c r="I336" s="144"/>
      <c r="J336" s="144"/>
      <c r="K336" s="141"/>
      <c r="L336" s="109"/>
      <c r="M336" s="109"/>
      <c r="N336" s="109"/>
      <c r="O336" s="109"/>
      <c r="P336" s="109"/>
      <c r="Q336" s="109"/>
      <c r="R336" s="109"/>
      <c r="S336" s="109"/>
    </row>
    <row r="337" spans="1:65" ht="16.5" hidden="1" customHeight="1" outlineLevel="1" x14ac:dyDescent="0.2">
      <c r="A337" s="133"/>
      <c r="B337" s="396" t="s">
        <v>366</v>
      </c>
      <c r="C337" s="397" t="str">
        <f>CONCATENATE("des ",PROJET!C$10)</f>
        <v>des Bureaux</v>
      </c>
      <c r="D337" s="398" t="s">
        <v>367</v>
      </c>
      <c r="E337" s="399"/>
      <c r="F337" s="399"/>
      <c r="G337" s="400"/>
      <c r="H337" s="399"/>
      <c r="I337" s="399"/>
      <c r="J337" s="383"/>
      <c r="K337" s="401"/>
      <c r="L337" s="141"/>
      <c r="M337" s="141"/>
      <c r="N337" s="141"/>
      <c r="O337" s="141"/>
      <c r="P337" s="141"/>
      <c r="Q337" s="141"/>
      <c r="R337" s="141"/>
      <c r="S337" s="141"/>
      <c r="T337" s="141"/>
      <c r="U337" s="141"/>
      <c r="V337" s="141"/>
      <c r="W337" s="141"/>
      <c r="X337" s="141"/>
      <c r="Y337" s="141"/>
      <c r="Z337" s="141"/>
      <c r="AA337" s="141"/>
      <c r="AB337" s="141"/>
      <c r="AC337" s="141"/>
      <c r="AD337" s="141"/>
      <c r="AE337" s="141"/>
      <c r="AF337" s="141"/>
      <c r="AG337" s="141"/>
      <c r="AH337" s="141"/>
      <c r="AI337" s="141"/>
      <c r="AJ337" s="141"/>
      <c r="AK337" s="141"/>
      <c r="AL337" s="141"/>
      <c r="AM337" s="141"/>
      <c r="AN337" s="141"/>
      <c r="AO337" s="141"/>
      <c r="AP337" s="141"/>
      <c r="AQ337" s="141"/>
      <c r="AR337" s="141"/>
      <c r="AS337" s="141"/>
      <c r="AT337" s="141"/>
      <c r="AU337" s="141"/>
      <c r="AV337" s="141"/>
      <c r="AW337" s="141"/>
      <c r="AX337" s="141"/>
      <c r="AY337" s="141"/>
      <c r="AZ337" s="141"/>
      <c r="BA337" s="141"/>
      <c r="BB337" s="141"/>
      <c r="BC337" s="141"/>
      <c r="BD337" s="141"/>
      <c r="BE337" s="141"/>
      <c r="BF337" s="141"/>
      <c r="BG337" s="141"/>
      <c r="BH337" s="141"/>
      <c r="BI337" s="141"/>
      <c r="BJ337" s="141"/>
      <c r="BK337" s="141"/>
      <c r="BL337" s="141"/>
      <c r="BM337" s="141"/>
    </row>
    <row r="338" spans="1:65" ht="16.5" hidden="1" customHeight="1" outlineLevel="2" x14ac:dyDescent="0.2">
      <c r="B338" s="402"/>
      <c r="C338" s="403" t="s">
        <v>368</v>
      </c>
      <c r="D338" s="404"/>
      <c r="E338" s="283">
        <v>0</v>
      </c>
      <c r="F338" s="283">
        <v>0</v>
      </c>
      <c r="G338" s="405" t="s">
        <v>369</v>
      </c>
      <c r="H338" s="406"/>
      <c r="I338" s="406"/>
      <c r="J338" s="407"/>
      <c r="K338" s="203"/>
      <c r="L338" s="109"/>
      <c r="M338" s="109"/>
      <c r="N338" s="109"/>
      <c r="O338" s="109"/>
      <c r="P338" s="109"/>
      <c r="Q338" s="109"/>
      <c r="R338" s="109"/>
      <c r="S338" s="109"/>
    </row>
    <row r="339" spans="1:65" ht="16.5" hidden="1" customHeight="1" outlineLevel="2" x14ac:dyDescent="0.2">
      <c r="B339" s="402"/>
      <c r="C339" s="408" t="s">
        <v>370</v>
      </c>
      <c r="D339" s="409"/>
      <c r="E339" s="700">
        <v>0</v>
      </c>
      <c r="F339" s="700"/>
      <c r="G339" s="410" t="s">
        <v>371</v>
      </c>
      <c r="H339" s="411"/>
      <c r="I339" s="411"/>
      <c r="J339" s="407"/>
      <c r="K339" s="176"/>
      <c r="L339" s="109"/>
      <c r="M339" s="109"/>
      <c r="N339" s="109"/>
      <c r="O339" s="109"/>
      <c r="P339" s="109"/>
      <c r="Q339" s="109"/>
      <c r="R339" s="109"/>
      <c r="S339" s="109"/>
    </row>
    <row r="340" spans="1:65" ht="16.5" hidden="1" customHeight="1" outlineLevel="2" x14ac:dyDescent="0.2">
      <c r="A340" s="108" t="s">
        <v>372</v>
      </c>
      <c r="B340" s="402"/>
      <c r="C340" s="408" t="s">
        <v>373</v>
      </c>
      <c r="D340" s="409"/>
      <c r="E340" s="700" t="s">
        <v>139</v>
      </c>
      <c r="F340" s="700"/>
      <c r="G340" s="410" t="s">
        <v>143</v>
      </c>
      <c r="H340" s="411"/>
      <c r="I340" s="411"/>
      <c r="J340" s="407"/>
      <c r="K340" s="176"/>
      <c r="L340" s="109"/>
      <c r="M340" s="109"/>
      <c r="N340" s="109"/>
      <c r="O340" s="109"/>
      <c r="P340" s="109"/>
      <c r="Q340" s="109"/>
      <c r="R340" s="109"/>
      <c r="S340" s="109"/>
    </row>
    <row r="341" spans="1:65" ht="16.5" hidden="1" customHeight="1" outlineLevel="2" x14ac:dyDescent="0.2">
      <c r="A341" s="108" t="s">
        <v>374</v>
      </c>
      <c r="B341" s="402"/>
      <c r="C341" s="408" t="s">
        <v>375</v>
      </c>
      <c r="D341" s="409"/>
      <c r="E341" s="1" t="s">
        <v>139</v>
      </c>
      <c r="F341" s="1" t="s">
        <v>139</v>
      </c>
      <c r="G341" s="410" t="s">
        <v>143</v>
      </c>
      <c r="H341" s="411">
        <f>VLOOKUP($E341,Données!$B$774:$G$777,3,FALSE())*E338*$E339*VLOOKUP($E340,Données!$B$770:$G$773,3,FALSE())</f>
        <v>0</v>
      </c>
      <c r="I341" s="411">
        <f>VLOOKUP($F341,Données!$B$778:$G$781,5,FALSE())*F338*$E339*VLOOKUP($E340,Données!$B$770:$G$773,3,FALSE())</f>
        <v>0</v>
      </c>
      <c r="J341" s="380">
        <f>IF(AND(E18=0,F18=0),0,(E$18*IF(E341=Données!B$777,1,0)+F$18*IF(F341=Données!B$781,1,0))/(E$18+F$18))</f>
        <v>0</v>
      </c>
      <c r="K341" s="176"/>
      <c r="L341" s="109"/>
      <c r="M341" s="109"/>
      <c r="N341" s="109"/>
      <c r="O341" s="109"/>
      <c r="P341" s="109"/>
      <c r="Q341" s="109"/>
      <c r="R341" s="109"/>
      <c r="S341" s="109"/>
    </row>
    <row r="342" spans="1:65" ht="13.5" hidden="1" outlineLevel="1" x14ac:dyDescent="0.2">
      <c r="B342" s="140"/>
      <c r="C342" s="171"/>
      <c r="D342" s="178"/>
      <c r="E342" s="179"/>
      <c r="F342" s="179"/>
      <c r="G342" s="412"/>
      <c r="H342" s="144"/>
      <c r="I342" s="144"/>
      <c r="J342" s="163"/>
      <c r="K342" s="144"/>
      <c r="L342" s="141"/>
      <c r="M342" s="141"/>
      <c r="N342" s="141"/>
      <c r="O342" s="141"/>
      <c r="P342" s="141"/>
      <c r="Q342" s="141"/>
      <c r="R342" s="141"/>
      <c r="S342" s="141"/>
      <c r="T342" s="141"/>
      <c r="U342" s="141"/>
      <c r="V342" s="141"/>
      <c r="W342" s="141"/>
      <c r="X342" s="141"/>
      <c r="Y342" s="141"/>
      <c r="Z342" s="141"/>
      <c r="AA342" s="141"/>
      <c r="AB342" s="141"/>
      <c r="AC342" s="141"/>
      <c r="AD342" s="141"/>
      <c r="AE342" s="141"/>
      <c r="AF342" s="141"/>
      <c r="AG342" s="141"/>
      <c r="AH342" s="141"/>
      <c r="AI342" s="141"/>
      <c r="AJ342" s="141"/>
      <c r="AK342" s="141"/>
      <c r="AL342" s="141"/>
      <c r="AM342" s="141"/>
      <c r="AN342" s="141"/>
      <c r="AO342" s="141"/>
      <c r="AP342" s="141"/>
      <c r="AQ342" s="141"/>
      <c r="AR342" s="141"/>
      <c r="AS342" s="141"/>
      <c r="AT342" s="141"/>
      <c r="AU342" s="141"/>
      <c r="AV342" s="141"/>
      <c r="AW342" s="141"/>
      <c r="AX342" s="141"/>
      <c r="AY342" s="141"/>
      <c r="AZ342" s="141"/>
      <c r="BA342" s="141"/>
      <c r="BB342" s="141"/>
      <c r="BC342" s="141"/>
      <c r="BD342" s="141"/>
      <c r="BE342" s="141"/>
      <c r="BF342" s="141"/>
      <c r="BG342" s="141"/>
      <c r="BH342" s="141"/>
      <c r="BI342" s="141"/>
      <c r="BJ342" s="141"/>
      <c r="BK342" s="141"/>
      <c r="BL342" s="141"/>
      <c r="BM342" s="141"/>
    </row>
    <row r="343" spans="1:65" ht="16.5" hidden="1" customHeight="1" outlineLevel="1" x14ac:dyDescent="0.2">
      <c r="B343" s="396" t="s">
        <v>376</v>
      </c>
      <c r="C343" s="397" t="str">
        <f>CONCATENATE("des ",PROJET!C$10)</f>
        <v>des Bureaux</v>
      </c>
      <c r="D343" s="398" t="s">
        <v>377</v>
      </c>
      <c r="E343" s="413"/>
      <c r="F343" s="413"/>
      <c r="G343" s="414"/>
      <c r="H343" s="399"/>
      <c r="I343" s="399"/>
      <c r="J343" s="383"/>
      <c r="K343" s="401"/>
      <c r="L343" s="141"/>
      <c r="M343" s="141"/>
      <c r="N343" s="141"/>
      <c r="O343" s="141"/>
      <c r="P343" s="141"/>
      <c r="Q343" s="141"/>
      <c r="R343" s="141"/>
      <c r="S343" s="141"/>
      <c r="T343" s="141"/>
      <c r="U343" s="141"/>
      <c r="V343" s="141"/>
      <c r="W343" s="141"/>
      <c r="X343" s="141"/>
      <c r="Y343" s="141"/>
      <c r="Z343" s="141"/>
      <c r="AA343" s="141"/>
      <c r="AB343" s="141"/>
      <c r="AC343" s="141"/>
      <c r="AD343" s="141"/>
      <c r="AE343" s="141"/>
      <c r="AF343" s="141"/>
      <c r="AG343" s="141"/>
      <c r="AH343" s="141"/>
      <c r="AI343" s="141"/>
      <c r="AJ343" s="141"/>
      <c r="AK343" s="141"/>
      <c r="AL343" s="141"/>
      <c r="AM343" s="141"/>
      <c r="AN343" s="141"/>
      <c r="AO343" s="141"/>
      <c r="AP343" s="141"/>
      <c r="AQ343" s="141"/>
      <c r="AR343" s="141"/>
      <c r="AS343" s="141"/>
      <c r="AT343" s="141"/>
      <c r="AU343" s="141"/>
      <c r="AV343" s="141"/>
      <c r="AW343" s="141"/>
      <c r="AX343" s="141"/>
      <c r="AY343" s="141"/>
      <c r="AZ343" s="141"/>
      <c r="BA343" s="141"/>
      <c r="BB343" s="141"/>
      <c r="BC343" s="141"/>
      <c r="BD343" s="141"/>
      <c r="BE343" s="141"/>
      <c r="BF343" s="141"/>
      <c r="BG343" s="141"/>
      <c r="BH343" s="141"/>
      <c r="BI343" s="141"/>
      <c r="BJ343" s="141"/>
      <c r="BK343" s="141"/>
      <c r="BL343" s="141"/>
      <c r="BM343" s="141"/>
    </row>
    <row r="344" spans="1:65" ht="16.5" hidden="1" customHeight="1" outlineLevel="2" x14ac:dyDescent="0.2">
      <c r="A344" s="108" t="s">
        <v>378</v>
      </c>
      <c r="B344" s="415"/>
      <c r="C344" s="403" t="s">
        <v>379</v>
      </c>
      <c r="D344" s="404"/>
      <c r="E344" s="199">
        <v>0</v>
      </c>
      <c r="F344" s="199">
        <v>0</v>
      </c>
      <c r="G344" s="405" t="s">
        <v>106</v>
      </c>
      <c r="H344" s="416">
        <f>E344*Données!$D783</f>
        <v>0</v>
      </c>
      <c r="I344" s="416">
        <f>F344*Données!$D783</f>
        <v>0</v>
      </c>
      <c r="J344" s="336"/>
      <c r="K344" s="337"/>
      <c r="L344" s="387"/>
      <c r="M344" s="387"/>
      <c r="N344" s="387"/>
      <c r="O344" s="387"/>
      <c r="P344" s="387"/>
      <c r="Q344" s="387"/>
      <c r="R344" s="387"/>
      <c r="S344" s="387"/>
      <c r="T344" s="387"/>
      <c r="U344" s="387"/>
      <c r="V344" s="387"/>
      <c r="W344" s="387"/>
      <c r="X344" s="387"/>
      <c r="Y344" s="387"/>
      <c r="Z344" s="387"/>
      <c r="AA344" s="387"/>
      <c r="AB344" s="387"/>
      <c r="AC344" s="387"/>
      <c r="AD344" s="387"/>
      <c r="AE344" s="387"/>
      <c r="AF344" s="387"/>
      <c r="AG344" s="387"/>
      <c r="AH344" s="387"/>
      <c r="AI344" s="387"/>
      <c r="AJ344" s="387"/>
      <c r="AK344" s="387"/>
      <c r="AL344" s="387"/>
      <c r="AM344" s="387"/>
      <c r="AN344" s="387"/>
      <c r="AO344" s="387"/>
      <c r="AP344" s="387"/>
      <c r="AQ344" s="387"/>
      <c r="AR344" s="387"/>
      <c r="AS344" s="387"/>
      <c r="AT344" s="387"/>
      <c r="AU344" s="387"/>
      <c r="AV344" s="387"/>
      <c r="AW344" s="387"/>
      <c r="AX344" s="387"/>
      <c r="AY344" s="387"/>
      <c r="AZ344" s="387"/>
      <c r="BA344" s="387"/>
      <c r="BB344" s="387"/>
      <c r="BC344" s="387"/>
      <c r="BD344" s="387"/>
      <c r="BE344" s="387"/>
      <c r="BF344" s="387"/>
      <c r="BG344" s="387"/>
      <c r="BH344" s="387"/>
      <c r="BI344" s="387"/>
      <c r="BJ344" s="387"/>
      <c r="BK344" s="387"/>
      <c r="BL344" s="387"/>
      <c r="BM344" s="387"/>
    </row>
    <row r="345" spans="1:65" ht="16.5" hidden="1" customHeight="1" outlineLevel="2" x14ac:dyDescent="0.2">
      <c r="A345" s="108" t="s">
        <v>374</v>
      </c>
      <c r="B345" s="417"/>
      <c r="C345" s="408" t="s">
        <v>380</v>
      </c>
      <c r="D345" s="409"/>
      <c r="E345" s="1">
        <v>0</v>
      </c>
      <c r="F345" s="1">
        <v>0</v>
      </c>
      <c r="G345" s="410" t="s">
        <v>106</v>
      </c>
      <c r="H345" s="418">
        <f>E345*Données!$D784</f>
        <v>0</v>
      </c>
      <c r="I345" s="418">
        <f>F345*Données!$D784</f>
        <v>0</v>
      </c>
      <c r="J345" s="336"/>
      <c r="K345" s="232"/>
      <c r="L345" s="387"/>
      <c r="M345" s="387"/>
      <c r="N345" s="387"/>
      <c r="O345" s="387"/>
      <c r="P345" s="387"/>
      <c r="Q345" s="387"/>
      <c r="R345" s="387"/>
      <c r="S345" s="387"/>
      <c r="T345" s="387"/>
      <c r="U345" s="387"/>
      <c r="V345" s="387"/>
      <c r="W345" s="387"/>
      <c r="X345" s="387"/>
      <c r="Y345" s="387"/>
      <c r="Z345" s="387"/>
      <c r="AA345" s="387"/>
      <c r="AB345" s="387"/>
      <c r="AC345" s="387"/>
      <c r="AD345" s="387"/>
      <c r="AE345" s="387"/>
      <c r="AF345" s="387"/>
      <c r="AG345" s="387"/>
      <c r="AH345" s="387"/>
      <c r="AI345" s="387"/>
      <c r="AJ345" s="387"/>
      <c r="AK345" s="387"/>
      <c r="AL345" s="387"/>
      <c r="AM345" s="387"/>
      <c r="AN345" s="387"/>
      <c r="AO345" s="387"/>
      <c r="AP345" s="387"/>
      <c r="AQ345" s="387"/>
      <c r="AR345" s="387"/>
      <c r="AS345" s="387"/>
      <c r="AT345" s="387"/>
      <c r="AU345" s="387"/>
      <c r="AV345" s="387"/>
      <c r="AW345" s="387"/>
      <c r="AX345" s="387"/>
      <c r="AY345" s="387"/>
      <c r="AZ345" s="387"/>
      <c r="BA345" s="387"/>
      <c r="BB345" s="387"/>
      <c r="BC345" s="387"/>
      <c r="BD345" s="387"/>
      <c r="BE345" s="387"/>
      <c r="BF345" s="387"/>
      <c r="BG345" s="387"/>
      <c r="BH345" s="387"/>
      <c r="BI345" s="387"/>
      <c r="BJ345" s="387"/>
      <c r="BK345" s="387"/>
      <c r="BL345" s="387"/>
      <c r="BM345" s="387"/>
    </row>
    <row r="346" spans="1:65" ht="13.5" hidden="1" outlineLevel="1" x14ac:dyDescent="0.2">
      <c r="A346" s="133"/>
      <c r="B346" s="227"/>
      <c r="C346" s="171"/>
      <c r="D346" s="178"/>
      <c r="E346" s="179"/>
      <c r="F346" s="179"/>
      <c r="G346" s="217"/>
      <c r="H346" s="179"/>
      <c r="I346" s="179"/>
      <c r="J346" s="342"/>
      <c r="K346" s="179"/>
      <c r="L346" s="171"/>
      <c r="M346" s="171"/>
      <c r="N346" s="171"/>
      <c r="O346" s="171"/>
      <c r="P346" s="171"/>
      <c r="Q346" s="171"/>
      <c r="R346" s="171"/>
      <c r="S346" s="171"/>
      <c r="T346" s="171"/>
      <c r="U346" s="171"/>
      <c r="V346" s="171"/>
      <c r="W346" s="171"/>
      <c r="X346" s="171"/>
      <c r="Y346" s="171"/>
      <c r="Z346" s="171"/>
      <c r="AA346" s="171"/>
      <c r="AB346" s="171"/>
      <c r="AC346" s="171"/>
      <c r="AD346" s="171"/>
      <c r="AE346" s="171"/>
      <c r="AF346" s="171"/>
      <c r="AG346" s="171"/>
      <c r="AH346" s="171"/>
      <c r="AI346" s="171"/>
      <c r="AJ346" s="171"/>
      <c r="AK346" s="171"/>
      <c r="AL346" s="171"/>
      <c r="AM346" s="171"/>
      <c r="AN346" s="171"/>
      <c r="AO346" s="171"/>
      <c r="AP346" s="171"/>
      <c r="AQ346" s="171"/>
      <c r="AR346" s="171"/>
      <c r="AS346" s="171"/>
      <c r="AT346" s="171"/>
      <c r="AU346" s="171"/>
      <c r="AV346" s="171"/>
      <c r="AW346" s="171"/>
      <c r="AX346" s="171"/>
      <c r="AY346" s="171"/>
      <c r="AZ346" s="171"/>
      <c r="BA346" s="171"/>
      <c r="BB346" s="171"/>
      <c r="BC346" s="171"/>
      <c r="BD346" s="171"/>
      <c r="BE346" s="171"/>
      <c r="BF346" s="171"/>
      <c r="BG346" s="171"/>
      <c r="BH346" s="171"/>
      <c r="BI346" s="171"/>
      <c r="BJ346" s="171"/>
      <c r="BK346" s="171"/>
      <c r="BL346" s="171"/>
      <c r="BM346" s="171"/>
    </row>
    <row r="347" spans="1:65" ht="16.5" hidden="1" customHeight="1" outlineLevel="1" x14ac:dyDescent="0.2">
      <c r="A347" s="133"/>
      <c r="B347" s="419" t="s">
        <v>381</v>
      </c>
      <c r="C347" s="397"/>
      <c r="D347" s="398" t="s">
        <v>382</v>
      </c>
      <c r="E347" s="413"/>
      <c r="F347" s="413"/>
      <c r="G347" s="420"/>
      <c r="H347" s="413"/>
      <c r="I347" s="413"/>
      <c r="J347" s="332"/>
      <c r="K347" s="421"/>
      <c r="L347" s="171"/>
      <c r="M347" s="171"/>
      <c r="N347" s="171"/>
      <c r="O347" s="171"/>
      <c r="P347" s="171"/>
      <c r="Q347" s="171"/>
      <c r="R347" s="171"/>
      <c r="S347" s="171"/>
      <c r="T347" s="171"/>
      <c r="U347" s="171"/>
      <c r="V347" s="171"/>
      <c r="W347" s="171"/>
      <c r="X347" s="171"/>
      <c r="Y347" s="171"/>
      <c r="Z347" s="171"/>
      <c r="AA347" s="171"/>
      <c r="AB347" s="171"/>
      <c r="AC347" s="171"/>
      <c r="AD347" s="171"/>
      <c r="AE347" s="171"/>
      <c r="AF347" s="171"/>
      <c r="AG347" s="171"/>
      <c r="AH347" s="171"/>
      <c r="AI347" s="171"/>
      <c r="AJ347" s="171"/>
      <c r="AK347" s="171"/>
      <c r="AL347" s="171"/>
      <c r="AM347" s="171"/>
      <c r="AN347" s="171"/>
      <c r="AO347" s="171"/>
      <c r="AP347" s="171"/>
      <c r="AQ347" s="171"/>
      <c r="AR347" s="171"/>
      <c r="AS347" s="171"/>
      <c r="AT347" s="171"/>
      <c r="AU347" s="171"/>
      <c r="AV347" s="171"/>
      <c r="AW347" s="171"/>
      <c r="AX347" s="171"/>
      <c r="AY347" s="171"/>
      <c r="AZ347" s="171"/>
      <c r="BA347" s="171"/>
      <c r="BB347" s="171"/>
      <c r="BC347" s="171"/>
      <c r="BD347" s="171"/>
      <c r="BE347" s="171"/>
      <c r="BF347" s="171"/>
      <c r="BG347" s="171"/>
      <c r="BH347" s="171"/>
      <c r="BI347" s="171"/>
      <c r="BJ347" s="171"/>
      <c r="BK347" s="171"/>
      <c r="BL347" s="171"/>
      <c r="BM347" s="171"/>
    </row>
    <row r="348" spans="1:65" ht="16.5" hidden="1" customHeight="1" outlineLevel="2" x14ac:dyDescent="0.2">
      <c r="A348" s="108" t="s">
        <v>383</v>
      </c>
      <c r="B348" s="415"/>
      <c r="C348" s="403" t="s">
        <v>384</v>
      </c>
      <c r="D348" s="404"/>
      <c r="E348" s="199">
        <v>0</v>
      </c>
      <c r="F348" s="199">
        <v>0</v>
      </c>
      <c r="G348" s="405" t="s">
        <v>385</v>
      </c>
      <c r="H348" s="416">
        <f>E348*Données!$D786</f>
        <v>0</v>
      </c>
      <c r="I348" s="416">
        <f>F348*Données!$D786</f>
        <v>0</v>
      </c>
      <c r="J348" s="336"/>
      <c r="K348" s="337"/>
      <c r="L348" s="387"/>
      <c r="M348" s="387"/>
      <c r="N348" s="387"/>
      <c r="O348" s="387"/>
      <c r="P348" s="387"/>
      <c r="Q348" s="387"/>
      <c r="R348" s="387"/>
      <c r="S348" s="387"/>
      <c r="T348" s="387"/>
      <c r="U348" s="387"/>
      <c r="V348" s="387"/>
      <c r="W348" s="387"/>
      <c r="X348" s="387"/>
      <c r="Y348" s="387"/>
      <c r="Z348" s="387"/>
      <c r="AA348" s="387"/>
      <c r="AB348" s="387"/>
      <c r="AC348" s="387"/>
      <c r="AD348" s="387"/>
      <c r="AE348" s="387"/>
      <c r="AF348" s="387"/>
      <c r="AG348" s="387"/>
      <c r="AH348" s="387"/>
      <c r="AI348" s="387"/>
      <c r="AJ348" s="387"/>
      <c r="AK348" s="387"/>
      <c r="AL348" s="387"/>
      <c r="AM348" s="387"/>
      <c r="AN348" s="387"/>
      <c r="AO348" s="387"/>
      <c r="AP348" s="387"/>
      <c r="AQ348" s="387"/>
      <c r="AR348" s="387"/>
      <c r="AS348" s="387"/>
      <c r="AT348" s="387"/>
      <c r="AU348" s="387"/>
      <c r="AV348" s="387"/>
      <c r="AW348" s="387"/>
      <c r="AX348" s="387"/>
      <c r="AY348" s="387"/>
      <c r="AZ348" s="387"/>
      <c r="BA348" s="387"/>
      <c r="BB348" s="387"/>
      <c r="BC348" s="387"/>
      <c r="BD348" s="387"/>
      <c r="BE348" s="387"/>
      <c r="BF348" s="387"/>
      <c r="BG348" s="387"/>
      <c r="BH348" s="387"/>
      <c r="BI348" s="387"/>
      <c r="BJ348" s="387"/>
      <c r="BK348" s="387"/>
      <c r="BL348" s="387"/>
      <c r="BM348" s="387"/>
    </row>
    <row r="349" spans="1:65" ht="16.5" hidden="1" customHeight="1" outlineLevel="2" x14ac:dyDescent="0.2">
      <c r="A349" s="108" t="s">
        <v>374</v>
      </c>
      <c r="B349" s="417"/>
      <c r="C349" s="408" t="s">
        <v>386</v>
      </c>
      <c r="D349" s="409"/>
      <c r="E349" s="1">
        <v>0</v>
      </c>
      <c r="F349" s="1">
        <v>0</v>
      </c>
      <c r="G349" s="410" t="s">
        <v>385</v>
      </c>
      <c r="H349" s="418">
        <f>E349*Données!$D787</f>
        <v>0</v>
      </c>
      <c r="I349" s="418">
        <f>F349*Données!$D787</f>
        <v>0</v>
      </c>
      <c r="J349" s="336"/>
      <c r="K349" s="232"/>
      <c r="L349" s="387"/>
      <c r="M349" s="387"/>
      <c r="N349" s="387"/>
      <c r="O349" s="387"/>
      <c r="P349" s="387"/>
      <c r="Q349" s="387"/>
      <c r="R349" s="387"/>
      <c r="S349" s="387"/>
      <c r="T349" s="387"/>
      <c r="U349" s="387"/>
      <c r="V349" s="387"/>
      <c r="W349" s="387"/>
      <c r="X349" s="387"/>
      <c r="Y349" s="387"/>
      <c r="Z349" s="387"/>
      <c r="AA349" s="387"/>
      <c r="AB349" s="387"/>
      <c r="AC349" s="387"/>
      <c r="AD349" s="387"/>
      <c r="AE349" s="387"/>
      <c r="AF349" s="387"/>
      <c r="AG349" s="387"/>
      <c r="AH349" s="387"/>
      <c r="AI349" s="387"/>
      <c r="AJ349" s="387"/>
      <c r="AK349" s="387"/>
      <c r="AL349" s="387"/>
      <c r="AM349" s="387"/>
      <c r="AN349" s="387"/>
      <c r="AO349" s="387"/>
      <c r="AP349" s="387"/>
      <c r="AQ349" s="387"/>
      <c r="AR349" s="387"/>
      <c r="AS349" s="387"/>
      <c r="AT349" s="387"/>
      <c r="AU349" s="387"/>
      <c r="AV349" s="387"/>
      <c r="AW349" s="387"/>
      <c r="AX349" s="387"/>
      <c r="AY349" s="387"/>
      <c r="AZ349" s="387"/>
      <c r="BA349" s="387"/>
      <c r="BB349" s="387"/>
      <c r="BC349" s="387"/>
      <c r="BD349" s="387"/>
      <c r="BE349" s="387"/>
      <c r="BF349" s="387"/>
      <c r="BG349" s="387"/>
      <c r="BH349" s="387"/>
      <c r="BI349" s="387"/>
      <c r="BJ349" s="387"/>
      <c r="BK349" s="387"/>
      <c r="BL349" s="387"/>
      <c r="BM349" s="387"/>
    </row>
    <row r="350" spans="1:65" ht="13.5" hidden="1" outlineLevel="1" x14ac:dyDescent="0.2">
      <c r="A350" s="133"/>
      <c r="B350" s="227"/>
      <c r="C350" s="171"/>
      <c r="D350" s="178"/>
      <c r="E350" s="179"/>
      <c r="F350" s="179"/>
      <c r="G350" s="217"/>
      <c r="H350" s="179"/>
      <c r="I350" s="179"/>
      <c r="J350" s="342"/>
      <c r="K350" s="179"/>
      <c r="L350" s="171"/>
      <c r="M350" s="171"/>
      <c r="N350" s="171"/>
      <c r="O350" s="171"/>
      <c r="P350" s="171"/>
      <c r="Q350" s="171"/>
      <c r="R350" s="171"/>
      <c r="S350" s="171"/>
      <c r="T350" s="171"/>
      <c r="U350" s="171"/>
      <c r="V350" s="171"/>
      <c r="W350" s="171"/>
      <c r="X350" s="171"/>
      <c r="Y350" s="171"/>
      <c r="Z350" s="171"/>
      <c r="AA350" s="171"/>
      <c r="AB350" s="171"/>
      <c r="AC350" s="171"/>
      <c r="AD350" s="171"/>
      <c r="AE350" s="171"/>
      <c r="AF350" s="171"/>
      <c r="AG350" s="171"/>
      <c r="AH350" s="171"/>
      <c r="AI350" s="171"/>
      <c r="AJ350" s="171"/>
      <c r="AK350" s="171"/>
      <c r="AL350" s="171"/>
      <c r="AM350" s="171"/>
      <c r="AN350" s="171"/>
      <c r="AO350" s="171"/>
      <c r="AP350" s="171"/>
      <c r="AQ350" s="171"/>
      <c r="AR350" s="171"/>
      <c r="AS350" s="171"/>
      <c r="AT350" s="171"/>
      <c r="AU350" s="171"/>
      <c r="AV350" s="171"/>
      <c r="AW350" s="171"/>
      <c r="AX350" s="171"/>
      <c r="AY350" s="171"/>
      <c r="AZ350" s="171"/>
      <c r="BA350" s="171"/>
      <c r="BB350" s="171"/>
      <c r="BC350" s="171"/>
      <c r="BD350" s="171"/>
      <c r="BE350" s="171"/>
      <c r="BF350" s="171"/>
      <c r="BG350" s="171"/>
      <c r="BH350" s="171"/>
      <c r="BI350" s="171"/>
      <c r="BJ350" s="171"/>
      <c r="BK350" s="171"/>
      <c r="BL350" s="171"/>
      <c r="BM350" s="171"/>
    </row>
    <row r="351" spans="1:65" ht="16.5" hidden="1" customHeight="1" outlineLevel="1" x14ac:dyDescent="0.2">
      <c r="A351" s="133"/>
      <c r="B351" s="419" t="s">
        <v>387</v>
      </c>
      <c r="C351" s="397"/>
      <c r="D351" s="398" t="s">
        <v>388</v>
      </c>
      <c r="E351" s="413"/>
      <c r="F351" s="413"/>
      <c r="G351" s="420"/>
      <c r="H351" s="413"/>
      <c r="I351" s="413"/>
      <c r="J351" s="332"/>
      <c r="K351" s="421"/>
      <c r="L351" s="171"/>
      <c r="M351" s="171"/>
      <c r="N351" s="171"/>
      <c r="O351" s="171"/>
      <c r="P351" s="171"/>
      <c r="Q351" s="171"/>
      <c r="R351" s="171"/>
      <c r="S351" s="171"/>
      <c r="T351" s="171"/>
      <c r="U351" s="171"/>
      <c r="V351" s="171"/>
      <c r="W351" s="171"/>
      <c r="X351" s="171"/>
      <c r="Y351" s="171"/>
      <c r="Z351" s="171"/>
      <c r="AA351" s="171"/>
      <c r="AB351" s="171"/>
      <c r="AC351" s="171"/>
      <c r="AD351" s="171"/>
      <c r="AE351" s="171"/>
      <c r="AF351" s="171"/>
      <c r="AG351" s="171"/>
      <c r="AH351" s="171"/>
      <c r="AI351" s="171"/>
      <c r="AJ351" s="171"/>
      <c r="AK351" s="171"/>
      <c r="AL351" s="171"/>
      <c r="AM351" s="171"/>
      <c r="AN351" s="171"/>
      <c r="AO351" s="171"/>
      <c r="AP351" s="171"/>
      <c r="AQ351" s="171"/>
      <c r="AR351" s="171"/>
      <c r="AS351" s="171"/>
      <c r="AT351" s="171"/>
      <c r="AU351" s="171"/>
      <c r="AV351" s="171"/>
      <c r="AW351" s="171"/>
      <c r="AX351" s="171"/>
      <c r="AY351" s="171"/>
      <c r="AZ351" s="171"/>
      <c r="BA351" s="171"/>
      <c r="BB351" s="171"/>
      <c r="BC351" s="171"/>
      <c r="BD351" s="171"/>
      <c r="BE351" s="171"/>
      <c r="BF351" s="171"/>
      <c r="BG351" s="171"/>
      <c r="BH351" s="171"/>
      <c r="BI351" s="171"/>
      <c r="BJ351" s="171"/>
      <c r="BK351" s="171"/>
      <c r="BL351" s="171"/>
      <c r="BM351" s="171"/>
    </row>
    <row r="352" spans="1:65" ht="19.5" hidden="1" customHeight="1" outlineLevel="4" x14ac:dyDescent="0.2">
      <c r="A352" s="422" t="s">
        <v>389</v>
      </c>
      <c r="B352" s="415"/>
      <c r="C352" s="403" t="s">
        <v>390</v>
      </c>
      <c r="D352" s="404"/>
      <c r="E352" s="199">
        <v>0</v>
      </c>
      <c r="F352" s="249">
        <v>0</v>
      </c>
      <c r="G352" s="405" t="s">
        <v>391</v>
      </c>
      <c r="H352" s="416"/>
      <c r="I352" s="416"/>
      <c r="J352" s="336"/>
      <c r="K352" s="337"/>
      <c r="L352" s="387"/>
      <c r="M352" s="387"/>
      <c r="N352" s="387"/>
      <c r="O352" s="387"/>
      <c r="P352" s="387"/>
      <c r="Q352" s="387"/>
      <c r="R352" s="387"/>
      <c r="S352" s="387"/>
      <c r="T352" s="387"/>
      <c r="U352" s="387"/>
      <c r="V352" s="387"/>
      <c r="W352" s="387"/>
      <c r="X352" s="387"/>
      <c r="Y352" s="387"/>
      <c r="Z352" s="387"/>
      <c r="AA352" s="387"/>
      <c r="AB352" s="387"/>
      <c r="AC352" s="387"/>
      <c r="AD352" s="387"/>
      <c r="AE352" s="387"/>
      <c r="AF352" s="387"/>
      <c r="AG352" s="387"/>
      <c r="AH352" s="387"/>
      <c r="AI352" s="387"/>
      <c r="AJ352" s="387"/>
      <c r="AK352" s="387"/>
      <c r="AL352" s="387"/>
      <c r="AM352" s="387"/>
      <c r="AN352" s="387"/>
      <c r="AO352" s="387"/>
      <c r="AP352" s="387"/>
      <c r="AQ352" s="387"/>
      <c r="AR352" s="387"/>
      <c r="AS352" s="387"/>
      <c r="AT352" s="387"/>
      <c r="AU352" s="387"/>
      <c r="AV352" s="387"/>
      <c r="AW352" s="387"/>
      <c r="AX352" s="387"/>
      <c r="AY352" s="387"/>
      <c r="AZ352" s="387"/>
      <c r="BA352" s="387"/>
      <c r="BB352" s="387"/>
      <c r="BC352" s="387"/>
      <c r="BD352" s="387"/>
      <c r="BE352" s="387"/>
      <c r="BF352" s="387"/>
      <c r="BG352" s="387"/>
      <c r="BH352" s="387"/>
      <c r="BI352" s="387"/>
      <c r="BJ352" s="387"/>
      <c r="BK352" s="387"/>
      <c r="BL352" s="387"/>
      <c r="BM352" s="387"/>
    </row>
    <row r="353" spans="1:65" ht="19.5" hidden="1" customHeight="1" outlineLevel="4" x14ac:dyDescent="0.2">
      <c r="A353" s="108" t="s">
        <v>374</v>
      </c>
      <c r="B353" s="417"/>
      <c r="C353" s="408" t="s">
        <v>392</v>
      </c>
      <c r="D353" s="409"/>
      <c r="E353" s="700" t="s">
        <v>139</v>
      </c>
      <c r="F353" s="700"/>
      <c r="G353" s="410" t="s">
        <v>143</v>
      </c>
      <c r="H353" s="418">
        <f>E352*Données!$D789*VLOOKUP($E353,Données!$B$790:$G$794,3,FALSE())</f>
        <v>0</v>
      </c>
      <c r="I353" s="418">
        <f>F352*Données!$D789*VLOOKUP($E353,Données!$B$790:$G$794,3,FALSE())</f>
        <v>0</v>
      </c>
      <c r="J353" s="407"/>
      <c r="K353" s="232"/>
      <c r="L353" s="387"/>
      <c r="M353" s="387"/>
      <c r="N353" s="387"/>
      <c r="O353" s="387"/>
      <c r="P353" s="387"/>
      <c r="Q353" s="387"/>
      <c r="R353" s="387"/>
      <c r="S353" s="387"/>
      <c r="T353" s="387"/>
      <c r="U353" s="387"/>
      <c r="V353" s="387"/>
      <c r="W353" s="387"/>
      <c r="X353" s="387"/>
      <c r="Y353" s="387"/>
      <c r="Z353" s="387"/>
      <c r="AA353" s="387"/>
      <c r="AB353" s="387"/>
      <c r="AC353" s="387"/>
      <c r="AD353" s="387"/>
      <c r="AE353" s="387"/>
      <c r="AF353" s="387"/>
      <c r="AG353" s="387"/>
      <c r="AH353" s="387"/>
      <c r="AI353" s="387"/>
      <c r="AJ353" s="387"/>
      <c r="AK353" s="387"/>
      <c r="AL353" s="387"/>
      <c r="AM353" s="387"/>
      <c r="AN353" s="387"/>
      <c r="AO353" s="387"/>
      <c r="AP353" s="387"/>
      <c r="AQ353" s="387"/>
      <c r="AR353" s="387"/>
      <c r="AS353" s="387"/>
      <c r="AT353" s="387"/>
      <c r="AU353" s="387"/>
      <c r="AV353" s="387"/>
      <c r="AW353" s="387"/>
      <c r="AX353" s="387"/>
      <c r="AY353" s="387"/>
      <c r="AZ353" s="387"/>
      <c r="BA353" s="387"/>
      <c r="BB353" s="387"/>
      <c r="BC353" s="387"/>
      <c r="BD353" s="387"/>
      <c r="BE353" s="387"/>
      <c r="BF353" s="387"/>
      <c r="BG353" s="387"/>
      <c r="BH353" s="387"/>
      <c r="BI353" s="387"/>
      <c r="BJ353" s="387"/>
      <c r="BK353" s="387"/>
      <c r="BL353" s="387"/>
      <c r="BM353" s="387"/>
    </row>
    <row r="354" spans="1:65" hidden="1" outlineLevel="1" x14ac:dyDescent="0.2">
      <c r="B354" s="140"/>
      <c r="C354" s="141"/>
      <c r="D354" s="142"/>
      <c r="E354" s="141"/>
      <c r="F354" s="143"/>
      <c r="G354" s="142"/>
      <c r="H354" s="144"/>
      <c r="I354" s="144"/>
      <c r="J354" s="163"/>
      <c r="K354" s="141"/>
      <c r="L354" s="109"/>
      <c r="M354" s="109"/>
      <c r="N354" s="109"/>
      <c r="O354" s="109"/>
      <c r="P354" s="109"/>
      <c r="Q354" s="109"/>
      <c r="R354" s="109"/>
      <c r="S354" s="109"/>
    </row>
    <row r="355" spans="1:65" collapsed="1" x14ac:dyDescent="0.2">
      <c r="J355" s="423"/>
      <c r="L355" s="109"/>
      <c r="M355" s="109"/>
      <c r="N355" s="109"/>
      <c r="O355" s="109"/>
      <c r="P355" s="109"/>
      <c r="Q355" s="109"/>
      <c r="R355" s="109"/>
      <c r="S355" s="109"/>
    </row>
    <row r="356" spans="1:65" x14ac:dyDescent="0.2">
      <c r="L356" s="109"/>
      <c r="M356" s="109"/>
      <c r="N356" s="109"/>
      <c r="O356" s="109"/>
      <c r="P356" s="109"/>
      <c r="Q356" s="109"/>
      <c r="R356" s="109"/>
      <c r="S356" s="109"/>
    </row>
    <row r="357" spans="1:65" x14ac:dyDescent="0.2">
      <c r="L357" s="109"/>
      <c r="M357" s="109"/>
      <c r="N357" s="109"/>
      <c r="O357" s="109"/>
      <c r="P357" s="109"/>
      <c r="Q357" s="109"/>
      <c r="R357" s="109"/>
      <c r="S357" s="109"/>
    </row>
    <row r="358" spans="1:65" x14ac:dyDescent="0.2">
      <c r="L358" s="109"/>
      <c r="M358" s="109"/>
      <c r="N358" s="109"/>
      <c r="O358" s="109"/>
      <c r="P358" s="109"/>
      <c r="Q358" s="109"/>
      <c r="R358" s="109"/>
      <c r="S358" s="109"/>
    </row>
    <row r="359" spans="1:65" x14ac:dyDescent="0.2">
      <c r="L359" s="109"/>
      <c r="M359" s="109"/>
      <c r="N359" s="109"/>
      <c r="O359" s="109"/>
      <c r="P359" s="109"/>
      <c r="Q359" s="109"/>
      <c r="R359" s="109"/>
      <c r="S359" s="109"/>
    </row>
  </sheetData>
  <sheetProtection sheet="1" objects="1" scenarios="1" formatRows="0" selectLockedCells="1"/>
  <mergeCells count="95">
    <mergeCell ref="E324:F324"/>
    <mergeCell ref="E330:F330"/>
    <mergeCell ref="E339:F339"/>
    <mergeCell ref="E340:F340"/>
    <mergeCell ref="E353:F353"/>
    <mergeCell ref="E303:F303"/>
    <mergeCell ref="E306:F306"/>
    <mergeCell ref="E307:F307"/>
    <mergeCell ref="E312:F312"/>
    <mergeCell ref="E318:F318"/>
    <mergeCell ref="E243:F243"/>
    <mergeCell ref="E244:F244"/>
    <mergeCell ref="E245:F245"/>
    <mergeCell ref="E246:F246"/>
    <mergeCell ref="E302:F302"/>
    <mergeCell ref="H168:H169"/>
    <mergeCell ref="I168:I169"/>
    <mergeCell ref="J168:J169"/>
    <mergeCell ref="E241:F241"/>
    <mergeCell ref="E242:F242"/>
    <mergeCell ref="H148:H149"/>
    <mergeCell ref="I148:I149"/>
    <mergeCell ref="J148:J149"/>
    <mergeCell ref="E156:F156"/>
    <mergeCell ref="E166:F166"/>
    <mergeCell ref="D133:D134"/>
    <mergeCell ref="D136:D137"/>
    <mergeCell ref="D139:D140"/>
    <mergeCell ref="D142:D143"/>
    <mergeCell ref="D145:D146"/>
    <mergeCell ref="D123:D124"/>
    <mergeCell ref="H126:H127"/>
    <mergeCell ref="I126:I127"/>
    <mergeCell ref="J126:J127"/>
    <mergeCell ref="D130:D131"/>
    <mergeCell ref="D104:D107"/>
    <mergeCell ref="D109:D110"/>
    <mergeCell ref="G112:G115"/>
    <mergeCell ref="D117:D118"/>
    <mergeCell ref="D120:D121"/>
    <mergeCell ref="H95:H96"/>
    <mergeCell ref="I95:I96"/>
    <mergeCell ref="J95:J96"/>
    <mergeCell ref="D99:D100"/>
    <mergeCell ref="D101:D102"/>
    <mergeCell ref="D80:D81"/>
    <mergeCell ref="D83:D84"/>
    <mergeCell ref="D86:D87"/>
    <mergeCell ref="D89:D90"/>
    <mergeCell ref="D92:D93"/>
    <mergeCell ref="H72:H73"/>
    <mergeCell ref="I72:I73"/>
    <mergeCell ref="J72:J73"/>
    <mergeCell ref="E76:F76"/>
    <mergeCell ref="E78:F78"/>
    <mergeCell ref="D66:D67"/>
    <mergeCell ref="E66:F66"/>
    <mergeCell ref="E67:F67"/>
    <mergeCell ref="D69:D70"/>
    <mergeCell ref="E69:F69"/>
    <mergeCell ref="E70:F70"/>
    <mergeCell ref="D60:D61"/>
    <mergeCell ref="E60:F60"/>
    <mergeCell ref="E61:F61"/>
    <mergeCell ref="D63:D64"/>
    <mergeCell ref="E63:F63"/>
    <mergeCell ref="E64:F64"/>
    <mergeCell ref="D55:D56"/>
    <mergeCell ref="E55:F55"/>
    <mergeCell ref="D57:D58"/>
    <mergeCell ref="E57:F57"/>
    <mergeCell ref="E58:F58"/>
    <mergeCell ref="E41:F41"/>
    <mergeCell ref="E44:F44"/>
    <mergeCell ref="E46:F46"/>
    <mergeCell ref="D48:D49"/>
    <mergeCell ref="D52:D53"/>
    <mergeCell ref="E52:F52"/>
    <mergeCell ref="E53:F53"/>
    <mergeCell ref="B302:B303"/>
    <mergeCell ref="G60:G61"/>
    <mergeCell ref="E3:E4"/>
    <mergeCell ref="I3:I4"/>
    <mergeCell ref="H7:J7"/>
    <mergeCell ref="D9:D12"/>
    <mergeCell ref="D14:D19"/>
    <mergeCell ref="E19:F19"/>
    <mergeCell ref="D21:D28"/>
    <mergeCell ref="E21:F21"/>
    <mergeCell ref="E22:F22"/>
    <mergeCell ref="D30:D31"/>
    <mergeCell ref="E36:F36"/>
    <mergeCell ref="D38:D39"/>
    <mergeCell ref="E38:F38"/>
    <mergeCell ref="E39:F39"/>
  </mergeCells>
  <dataValidations count="4">
    <dataValidation operator="equal" allowBlank="1" showErrorMessage="1" sqref="D1:D8 H7:J7 D9:D32 H33:J33 D34:D170 H35:J70 H72:J107 H109:J124 H126:J146 H148:J160 H162:J166 H168:J171 D172:D308 H173:J307 E174:F179 K174:K180 K184 E186:F186 K186:K190 E192:F192 K192:K196 K198 K201 E203:F205 K203:K212 E207:F207 E209:F209 E211:F211 E214:F215 K214:K217 E217:F217 E219:F219 K219 E221:F221 K221:K222 K224 K226:K229 E231:F231 K231:K236 E233:F233 K238 K240:K246 K248:K254 E249:F251 K256:K258 E257:F257 K260:K267 E261:F261 E263:F263 K269:K273 K275:K278 K280:K286 K288:K290 K292:K294 K296:K299 K301:K303 K305:K307 H309:J309 D310:D334 F312 H312:K313 H314:J333 F318 K318 F324 K324 F330 H335:J335 D336:D354 H337:J353 F340 E345:F345 F353 D355:D1353" xr:uid="{00000000-0002-0000-0100-000000000000}">
      <formula1>0</formula1>
      <formula2>0</formula2>
    </dataValidation>
    <dataValidation type="list" operator="equal" allowBlank="1" showInputMessage="1" showErrorMessage="1" sqref="F38:F39 F55 F57:F58 F60:F61 F78" xr:uid="{00000000-0002-0000-0100-000001000000}">
      <formula1>#REF!</formula1>
      <formula2>0</formula2>
    </dataValidation>
    <dataValidation type="list" operator="equal" allowBlank="1" showErrorMessage="1" sqref="F41 F306:F307" xr:uid="{00000000-0002-0000-0100-000002000000}">
      <formula1>#REF!</formula1>
      <formula2>0</formula2>
    </dataValidation>
    <dataValidation operator="equal" allowBlank="1" showInputMessage="1" showErrorMessage="1" sqref="F48" xr:uid="{00000000-0002-0000-0100-000003000000}">
      <formula1>#REF!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7122370-E892-4681-A5A1-F0CCBEC4F000}">
            <xm:f>PROJET!$E$10=0</xm:f>
            <x14:dxf>
              <font>
                <color rgb="FF808080"/>
                <name val="Arial Narrow"/>
                <family val="2"/>
                <charset val="1"/>
              </font>
              <fill>
                <patternFill>
                  <bgColor rgb="FFF2F2F2"/>
                </patternFill>
              </fill>
            </x14:dxf>
          </x14:cfRule>
          <xm:sqref>C48:C49 E48:E49</xm:sqref>
        </x14:conditionalFormatting>
        <x14:conditionalFormatting xmlns:xm="http://schemas.microsoft.com/office/excel/2006/main">
          <x14:cfRule type="expression" priority="3" id="{622F6B51-EBF6-45F3-8EEA-2787B1D0BB54}">
            <xm:f>OR(PROJET!$E$6=0,PROJET!$E$8=0)</xm:f>
            <x14:dxf>
              <font>
                <color rgb="FF808080"/>
                <name val="Arial Narrow"/>
                <family val="2"/>
                <charset val="1"/>
              </font>
              <fill>
                <patternFill>
                  <bgColor rgb="FFFFFFCC"/>
                </patternFill>
              </fill>
            </x14:dxf>
          </x14:cfRule>
          <xm:sqref>E9</xm:sqref>
        </x14:conditionalFormatting>
        <x14:conditionalFormatting xmlns:xm="http://schemas.microsoft.com/office/excel/2006/main">
          <x14:cfRule type="expression" priority="4" id="{621E8229-F0A9-48D0-BF30-449228425E5C}">
            <xm:f>OR(PROJET!$E$6=0,PROJET!$E$9=0)</xm:f>
            <x14:dxf>
              <font>
                <color rgb="FF808080"/>
                <name val="Arial Narrow"/>
                <family val="2"/>
                <charset val="1"/>
              </font>
              <fill>
                <patternFill>
                  <bgColor rgb="FFFFFFCC"/>
                </patternFill>
              </fill>
            </x14:dxf>
          </x14:cfRule>
          <xm:sqref>E10 E12</xm:sqref>
        </x14:conditionalFormatting>
        <x14:conditionalFormatting xmlns:xm="http://schemas.microsoft.com/office/excel/2006/main">
          <x14:cfRule type="expression" priority="5" id="{931083F6-B0EC-4C4B-8529-B2ED3A792C62}">
            <xm:f>OR(PROJET!$E$6=0,,PROJET!$E$9=0,PROJET!$E$11=1)</xm:f>
            <x14:dxf>
              <font>
                <color rgb="FF808080"/>
                <name val="Arial Narrow"/>
                <family val="2"/>
                <charset val="1"/>
              </font>
              <fill>
                <patternFill>
                  <bgColor rgb="FFFFFFCC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6" id="{D08E8638-709A-4F32-84B9-766FBA24E965}">
            <xm:f>PROJET!$E$10=0</xm:f>
            <x14:dxf>
              <font>
                <color rgb="FF808080"/>
                <name val="Arial Narrow"/>
                <family val="2"/>
                <charset val="1"/>
              </font>
              <fill>
                <patternFill>
                  <bgColor rgb="FFFFFFCC"/>
                </patternFill>
              </fill>
            </x14:dxf>
          </x14:cfRule>
          <xm:sqref>E14</xm:sqref>
        </x14:conditionalFormatting>
        <x14:conditionalFormatting xmlns:xm="http://schemas.microsoft.com/office/excel/2006/main">
          <x14:cfRule type="expression" priority="7" id="{AA12FCB2-57CC-443A-865F-55E5BE68EB93}">
            <xm:f>OR(PROJET!$E$6=0,PROJET!$E$8=0)</xm:f>
            <x14:dxf>
              <font>
                <color rgb="FF808080"/>
                <name val="Arial Narrow"/>
                <family val="2"/>
                <charset val="1"/>
              </font>
              <fill>
                <patternFill>
                  <bgColor rgb="FFFFFFCC"/>
                </patternFill>
              </fill>
            </x14:dxf>
          </x14:cfRule>
          <xm:sqref>E15:E16</xm:sqref>
        </x14:conditionalFormatting>
        <x14:conditionalFormatting xmlns:xm="http://schemas.microsoft.com/office/excel/2006/main">
          <x14:cfRule type="expression" priority="8" id="{5D40CD1C-F74F-4F19-ACA5-30A1E3D2ED75}">
            <xm:f>PROJET!$E$6=0</xm:f>
            <x14:dxf>
              <font>
                <color rgb="FF808080"/>
                <name val="Arial Narrow"/>
                <family val="2"/>
                <charset val="1"/>
              </font>
              <fill>
                <patternFill>
                  <bgColor rgb="FFFFFFCC"/>
                </patternFill>
              </fill>
            </x14:dxf>
          </x14:cfRule>
          <xm:sqref>E23:E28</xm:sqref>
        </x14:conditionalFormatting>
        <x14:conditionalFormatting xmlns:xm="http://schemas.microsoft.com/office/excel/2006/main">
          <x14:cfRule type="expression" priority="9" id="{657C7876-C3EC-4E3F-B3E3-F1CCBA4CB1F1}">
            <xm:f>PROJET!$E$6=0</xm:f>
            <x14:dxf>
              <font>
                <color rgb="FF808080"/>
                <name val="Arial Narrow"/>
                <family val="2"/>
                <charset val="1"/>
              </font>
              <fill>
                <patternFill>
                  <bgColor rgb="FFF2F2F2"/>
                </patternFill>
              </fill>
            </x14:dxf>
          </x14:cfRule>
          <xm:sqref>E72:E73 E76 E78 E80:E96 E99:E127 E130:E149 E152:E155 E157:E165 E168:E169</xm:sqref>
        </x14:conditionalFormatting>
        <x14:conditionalFormatting xmlns:xm="http://schemas.microsoft.com/office/excel/2006/main">
          <x14:cfRule type="expression" priority="10" id="{5DD9B9BF-B382-4420-AF83-5EC8692C39BA}">
            <xm:f>PROJET!$E$6=0</xm:f>
            <x14:dxf>
              <font>
                <color rgb="FF808080"/>
                <name val="Arial Narrow"/>
                <family val="2"/>
                <charset val="1"/>
              </font>
              <fill>
                <patternFill>
                  <bgColor rgb="FFEBF5F5"/>
                </patternFill>
              </fill>
            </x14:dxf>
          </x14:cfRule>
          <xm:sqref>E174:E180 E184 E201 E253 E257:E258 E266:E267 E272 E278 E289:E290 E293:E294</xm:sqref>
        </x14:conditionalFormatting>
        <x14:conditionalFormatting xmlns:xm="http://schemas.microsoft.com/office/excel/2006/main">
          <x14:cfRule type="expression" priority="11" id="{00000000-000E-0000-0100-00000B000000}">
            <xm:f>PROJET!$G$10=0</xm:f>
            <x14:dxf>
              <font>
                <color rgb="FF808080"/>
                <name val="Arial Narrow"/>
                <family val="2"/>
                <charset val="1"/>
              </font>
              <fill>
                <patternFill>
                  <bgColor rgb="FFEBF5F5"/>
                </patternFill>
              </fill>
            </x14:dxf>
          </x14:cfRule>
          <xm:sqref>E174:E180</xm:sqref>
        </x14:conditionalFormatting>
        <x14:conditionalFormatting xmlns:xm="http://schemas.microsoft.com/office/excel/2006/main">
          <x14:cfRule type="expression" priority="12" id="{E03DE986-75F4-4F5A-B537-5FD387348677}">
            <xm:f>OR(PROJET!$E$6=0,PROJET!$E$8=0)</xm:f>
            <x14:dxf>
              <font>
                <color rgb="FF808080"/>
                <name val="Arial Narrow"/>
                <family val="2"/>
                <charset val="1"/>
              </font>
              <fill>
                <patternFill>
                  <bgColor rgb="FFEBF5F5"/>
                </patternFill>
              </fill>
            </x14:dxf>
          </x14:cfRule>
          <xm:sqref>E186:E190 E203:E212 E227:E229 E249:E250 E261:E262 E276</xm:sqref>
        </x14:conditionalFormatting>
        <x14:conditionalFormatting xmlns:xm="http://schemas.microsoft.com/office/excel/2006/main">
          <x14:cfRule type="expression" priority="13" id="{103C806A-D0F8-40D3-AC7A-A93E2FF239B2}">
            <xm:f>OR(PROJET!$E$6=0,PROJET!$E$9=0)</xm:f>
            <x14:dxf>
              <font>
                <color rgb="FF808080"/>
                <name val="Arial Narrow"/>
                <family val="2"/>
                <charset val="1"/>
              </font>
              <fill>
                <patternFill>
                  <bgColor rgb="FFEBF5F5"/>
                </patternFill>
              </fill>
            </x14:dxf>
          </x14:cfRule>
          <xm:sqref>E192:E196 E214:E222 E231:E236 E251:E252 E263:E265 E271 E277 E281:E286</xm:sqref>
        </x14:conditionalFormatting>
        <x14:conditionalFormatting xmlns:xm="http://schemas.microsoft.com/office/excel/2006/main">
          <x14:cfRule type="expression" priority="14" id="{28193390-C895-43AB-A094-2279E0ACC42C}">
            <xm:f>PROJET!$E$8=0</xm:f>
            <x14:dxf>
              <font>
                <color rgb="FF808080"/>
                <name val="Arial Narrow"/>
                <family val="2"/>
                <charset val="1"/>
              </font>
              <fill>
                <patternFill>
                  <bgColor rgb="FFFBE5D6"/>
                </patternFill>
              </fill>
            </x14:dxf>
          </x14:cfRule>
          <xm:sqref>E312</xm:sqref>
        </x14:conditionalFormatting>
        <x14:conditionalFormatting xmlns:xm="http://schemas.microsoft.com/office/excel/2006/main">
          <x14:cfRule type="expression" priority="15" id="{6D30BB7E-98D4-4B84-A859-5FDC9553EB2C}">
            <xm:f>OR(PROJET!$E$6=0,PROJET!$E$8=0)</xm:f>
            <x14:dxf>
              <font>
                <color rgb="FF808080"/>
                <name val="Arial Narrow"/>
                <family val="2"/>
                <charset val="1"/>
              </font>
              <fill>
                <patternFill>
                  <bgColor rgb="FFFBE5D6"/>
                </patternFill>
              </fill>
            </x14:dxf>
          </x14:cfRule>
          <xm:sqref>E313:E315</xm:sqref>
        </x14:conditionalFormatting>
        <x14:conditionalFormatting xmlns:xm="http://schemas.microsoft.com/office/excel/2006/main">
          <x14:cfRule type="expression" priority="16" id="{ED75F1EE-A068-4733-AEEC-57B6A98CDDD1}">
            <xm:f>PROJET!$E$9=0</xm:f>
            <x14:dxf>
              <font>
                <color rgb="FF808080"/>
                <name val="Arial Narrow"/>
                <family val="2"/>
                <charset val="1"/>
              </font>
              <fill>
                <patternFill>
                  <bgColor rgb="FFFBE5D6"/>
                </patternFill>
              </fill>
            </x14:dxf>
          </x14:cfRule>
          <xm:sqref>E318 E330</xm:sqref>
        </x14:conditionalFormatting>
        <x14:conditionalFormatting xmlns:xm="http://schemas.microsoft.com/office/excel/2006/main">
          <x14:cfRule type="expression" priority="17" id="{B4128CDA-6494-4114-88E1-B5D570ACCEB4}">
            <xm:f>OR(PROJET!$E$6=0,PROJET!$E$9=0)</xm:f>
            <x14:dxf>
              <font>
                <color rgb="FF808080"/>
                <name val="Arial Narrow"/>
                <family val="2"/>
                <charset val="1"/>
              </font>
              <fill>
                <patternFill>
                  <bgColor rgb="FFFBE5D6"/>
                </patternFill>
              </fill>
            </x14:dxf>
          </x14:cfRule>
          <xm:sqref>E319:E321 E331:E333</xm:sqref>
        </x14:conditionalFormatting>
        <x14:conditionalFormatting xmlns:xm="http://schemas.microsoft.com/office/excel/2006/main">
          <x14:cfRule type="expression" priority="18" id="{40CF9F8A-8C51-41E4-AD17-66FBCE1EE531}">
            <xm:f>OR(PROJET!$E$9=0,PROJET!$E$11=1)</xm:f>
            <x14:dxf>
              <font>
                <color rgb="FF808080"/>
                <name val="Arial Narrow"/>
                <family val="2"/>
                <charset val="1"/>
              </font>
              <fill>
                <patternFill>
                  <bgColor rgb="FFFBE5D6"/>
                </patternFill>
              </fill>
            </x14:dxf>
          </x14:cfRule>
          <xm:sqref>E324</xm:sqref>
        </x14:conditionalFormatting>
        <x14:conditionalFormatting xmlns:xm="http://schemas.microsoft.com/office/excel/2006/main">
          <x14:cfRule type="expression" priority="19" id="{803FB935-A4B7-4FD2-9CBC-E6516FF6BCA7}">
            <xm:f>OR(PROJET!$E$6=0,PROJET!$E$9=0,PROJET!$E$11=1)</xm:f>
            <x14:dxf>
              <font>
                <color rgb="FF808080"/>
                <name val="Arial Narrow"/>
                <family val="2"/>
                <charset val="1"/>
              </font>
              <fill>
                <patternFill>
                  <bgColor rgb="FFFBE5D6"/>
                </patternFill>
              </fill>
            </x14:dxf>
          </x14:cfRule>
          <xm:sqref>E325:E327</xm:sqref>
        </x14:conditionalFormatting>
        <x14:conditionalFormatting xmlns:xm="http://schemas.microsoft.com/office/excel/2006/main">
          <x14:cfRule type="expression" priority="20" id="{44C18FD3-6686-445E-8AE7-B5F9849AA1ED}">
            <xm:f>OR(PROJET!$E$6=0,PROJET!$E$9=0)</xm:f>
            <x14:dxf>
              <font>
                <color rgb="FF808080"/>
                <name val="Arial Narrow"/>
                <family val="2"/>
                <charset val="1"/>
              </font>
              <fill>
                <patternFill>
                  <bgColor rgb="FFFFF2CC"/>
                </patternFill>
              </fill>
            </x14:dxf>
          </x14:cfRule>
          <xm:sqref>E338 E341 E343:E345</xm:sqref>
        </x14:conditionalFormatting>
        <x14:conditionalFormatting xmlns:xm="http://schemas.microsoft.com/office/excel/2006/main">
          <x14:cfRule type="expression" priority="21" id="{1D2A594D-4C8D-40C2-8275-E1BB7DE12695}">
            <xm:f>PROJET!$E$9=0</xm:f>
            <x14:dxf>
              <font>
                <color rgb="FF808080"/>
                <name val="Arial Narrow"/>
                <family val="2"/>
                <charset val="1"/>
              </font>
              <fill>
                <patternFill>
                  <bgColor rgb="FFFFF2CC"/>
                </patternFill>
              </fill>
            </x14:dxf>
          </x14:cfRule>
          <xm:sqref>E339:E340</xm:sqref>
        </x14:conditionalFormatting>
        <x14:conditionalFormatting xmlns:xm="http://schemas.microsoft.com/office/excel/2006/main">
          <x14:cfRule type="expression" priority="22" id="{792FD29E-6C80-4099-849E-1D738793FA1E}">
            <xm:f>PROJET!$E$6=0</xm:f>
            <x14:dxf>
              <font>
                <color rgb="FF808080"/>
                <name val="Arial Narrow"/>
                <family val="2"/>
                <charset val="1"/>
              </font>
              <fill>
                <patternFill>
                  <bgColor rgb="FFFFF2CC"/>
                </patternFill>
              </fill>
            </x14:dxf>
          </x14:cfRule>
          <xm:sqref>E348:E349 E352</xm:sqref>
        </x14:conditionalFormatting>
        <x14:conditionalFormatting xmlns:xm="http://schemas.microsoft.com/office/excel/2006/main">
          <x14:cfRule type="expression" priority="23" id="{C144982E-C3EE-438B-8E68-51ABA024E024}">
            <xm:f>OR(PROJET!$E$7=0,PROJET!$E$9=0)</xm:f>
            <x14:dxf>
              <font>
                <color rgb="FF808080"/>
                <name val="Arial Narrow"/>
                <family val="2"/>
                <charset val="1"/>
              </font>
              <fill>
                <patternFill>
                  <bgColor rgb="FFFFFFCC"/>
                </patternFill>
              </fill>
            </x14:dxf>
          </x14:cfRule>
          <xm:sqref>E17:F17</xm:sqref>
        </x14:conditionalFormatting>
        <x14:conditionalFormatting xmlns:xm="http://schemas.microsoft.com/office/excel/2006/main">
          <x14:cfRule type="expression" priority="24" id="{686F247C-95A4-4EB2-AF46-EF2251D05F18}">
            <xm:f>OR(PROJET!$E$7=0,PROJET!$E$8=0)</xm:f>
            <x14:dxf>
              <font>
                <color rgb="FF808080"/>
                <name val="Arial Narrow"/>
                <family val="2"/>
                <charset val="1"/>
              </font>
              <fill>
                <patternFill>
                  <bgColor rgb="FFFFFFCC"/>
                </pattern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25" id="{D7B88AE8-A633-425B-AE82-77DBD2F0632F}">
            <xm:f>OR(PROJET!$E$7=0,PROJET!$E$9=0)</xm:f>
            <x14:dxf>
              <font>
                <color rgb="FF808080"/>
                <name val="Arial Narrow"/>
                <family val="2"/>
                <charset val="1"/>
              </font>
              <fill>
                <patternFill>
                  <bgColor rgb="FFFFFFCC"/>
                </patternFill>
              </fill>
            </x14:dxf>
          </x14:cfRule>
          <xm:sqref>F10 F12</xm:sqref>
        </x14:conditionalFormatting>
        <x14:conditionalFormatting xmlns:xm="http://schemas.microsoft.com/office/excel/2006/main">
          <x14:cfRule type="expression" priority="26" id="{F0B67B49-8DAD-4B23-A1A1-F852E1DD7B39}">
            <xm:f>OR(PROJET!$E$7=0,PROJET!$E$9=0,PROJET!$E$11=1)</xm:f>
            <x14:dxf>
              <font>
                <color rgb="FF808080"/>
                <name val="Arial Narrow"/>
                <family val="2"/>
                <charset val="1"/>
              </font>
              <fill>
                <patternFill>
                  <bgColor rgb="FFFFFFCC"/>
                </patternFill>
              </fill>
            </x14:dxf>
          </x14:cfRule>
          <xm:sqref>F11</xm:sqref>
        </x14:conditionalFormatting>
        <x14:conditionalFormatting xmlns:xm="http://schemas.microsoft.com/office/excel/2006/main">
          <x14:cfRule type="expression" priority="27" id="{40F7D6A3-74FC-47C3-8572-471E5B9613FD}">
            <xm:f>OR(PROJET!$E$7=0,PROJET!$E$8=0)</xm:f>
            <x14:dxf>
              <font>
                <color rgb="FF808080"/>
                <name val="Arial Narrow"/>
                <family val="2"/>
                <charset val="1"/>
              </font>
              <fill>
                <patternFill>
                  <bgColor rgb="FFFFFFCC"/>
                </patternFill>
              </fill>
            </x14:dxf>
          </x14:cfRule>
          <xm:sqref>F15:F16</xm:sqref>
        </x14:conditionalFormatting>
        <x14:conditionalFormatting xmlns:xm="http://schemas.microsoft.com/office/excel/2006/main">
          <x14:cfRule type="expression" priority="28" id="{47563E3B-F7E9-45A8-88C9-E6971F8729A8}">
            <xm:f>PROJET!$E$7=0</xm:f>
            <x14:dxf>
              <font>
                <color rgb="FF808080"/>
                <name val="Arial Narrow"/>
                <family val="2"/>
                <charset val="1"/>
              </font>
              <fill>
                <patternFill>
                  <bgColor rgb="FFFFFFCC"/>
                </patternFill>
              </fill>
            </x14:dxf>
          </x14:cfRule>
          <xm:sqref>F23:F28</xm:sqref>
        </x14:conditionalFormatting>
        <x14:conditionalFormatting xmlns:xm="http://schemas.microsoft.com/office/excel/2006/main">
          <x14:cfRule type="expression" priority="29" id="{96EA4BDA-448F-4334-8735-A670627C8E5D}">
            <xm:f>PROJET!$E$7=0</xm:f>
            <x14:dxf>
              <font>
                <color rgb="FF808080"/>
                <name val="Arial Narrow"/>
                <family val="2"/>
                <charset val="1"/>
              </font>
              <fill>
                <patternFill>
                  <bgColor rgb="FFF2F2F2"/>
                </patternFill>
              </fill>
            </x14:dxf>
          </x14:cfRule>
          <xm:sqref>F72:F73 F75:F96 F98:F127 F129:F149 F151:F169</xm:sqref>
        </x14:conditionalFormatting>
        <x14:conditionalFormatting xmlns:xm="http://schemas.microsoft.com/office/excel/2006/main">
          <x14:cfRule type="expression" priority="30" id="{6F6B6672-DE75-4972-B8A0-87956B672C90}">
            <xm:f>PROJET!$E$7=0</xm:f>
            <x14:dxf>
              <font>
                <color rgb="FF808080"/>
                <name val="Arial Narrow"/>
                <family val="2"/>
                <charset val="1"/>
              </font>
              <fill>
                <patternFill>
                  <bgColor rgb="FFEBF5F5"/>
                </patternFill>
              </fill>
            </x14:dxf>
          </x14:cfRule>
          <xm:sqref>F174:F180 F184 F201 F253 F257:F258 F266:F267 F272 F278 F289:F290 F293:F294</xm:sqref>
        </x14:conditionalFormatting>
        <x14:conditionalFormatting xmlns:xm="http://schemas.microsoft.com/office/excel/2006/main">
          <x14:cfRule type="expression" priority="31" id="{98DB4618-DBEA-49C0-A4E6-2C762DED4574}">
            <xm:f>OR(PROJET!$E$7=0,PROJET!$E$8=0)</xm:f>
            <x14:dxf>
              <font>
                <color rgb="FF808080"/>
                <name val="Arial Narrow"/>
                <family val="2"/>
                <charset val="1"/>
              </font>
              <fill>
                <patternFill>
                  <bgColor rgb="FFEBF5F5"/>
                </patternFill>
              </fill>
            </x14:dxf>
          </x14:cfRule>
          <xm:sqref>F186:F190 F203:F212 F227:F229 F249:F250 F261:F262 F276</xm:sqref>
        </x14:conditionalFormatting>
        <x14:conditionalFormatting xmlns:xm="http://schemas.microsoft.com/office/excel/2006/main">
          <x14:cfRule type="expression" priority="32" id="{9C848020-DF65-42A2-96EF-FFBCC1E5807C}">
            <xm:f>OR(PROJET!$E$7=0,PROJET!$E$9=0)</xm:f>
            <x14:dxf>
              <font>
                <color rgb="FF808080"/>
                <name val="Arial Narrow"/>
                <family val="2"/>
                <charset val="1"/>
              </font>
              <fill>
                <patternFill>
                  <bgColor rgb="FFEBF5F5"/>
                </patternFill>
              </fill>
            </x14:dxf>
          </x14:cfRule>
          <xm:sqref>F192:F196 F214:F222 F231:F236 F251:F252 F263:F265 F271 F277 F281:F286</xm:sqref>
        </x14:conditionalFormatting>
        <x14:conditionalFormatting xmlns:xm="http://schemas.microsoft.com/office/excel/2006/main">
          <x14:cfRule type="expression" priority="33" id="{5D305970-C8B7-471A-AB10-52703051175A}">
            <xm:f>OR(PROJET!$E$7=0,PROJET!$E$8=0)</xm:f>
            <x14:dxf>
              <font>
                <color rgb="FF808080"/>
                <name val="Arial Narrow"/>
                <family val="2"/>
                <charset val="1"/>
              </font>
              <fill>
                <patternFill>
                  <bgColor rgb="FFFBE5D6"/>
                </patternFill>
              </fill>
            </x14:dxf>
          </x14:cfRule>
          <xm:sqref>F313:F315</xm:sqref>
        </x14:conditionalFormatting>
        <x14:conditionalFormatting xmlns:xm="http://schemas.microsoft.com/office/excel/2006/main">
          <x14:cfRule type="expression" priority="34" id="{9693673B-50A2-429A-BB4C-A61A24A5BFD0}">
            <xm:f>OR(PROJET!$E$7=0,PROJET!$E$9=0)</xm:f>
            <x14:dxf>
              <font>
                <color rgb="FF808080"/>
                <name val="Arial Narrow"/>
                <family val="2"/>
                <charset val="1"/>
              </font>
              <fill>
                <patternFill>
                  <bgColor rgb="FFFBE5D6"/>
                </patternFill>
              </fill>
            </x14:dxf>
          </x14:cfRule>
          <xm:sqref>F319:F321 F331:F333</xm:sqref>
        </x14:conditionalFormatting>
        <x14:conditionalFormatting xmlns:xm="http://schemas.microsoft.com/office/excel/2006/main">
          <x14:cfRule type="expression" priority="35" id="{109EE9C2-3A41-48DA-982E-2514C7C02667}">
            <xm:f>OR(PROJET!$E$7=0,PROJET!$E$9=0,PROJET!$E$11=1)</xm:f>
            <x14:dxf>
              <font>
                <color rgb="FF808080"/>
                <name val="Arial Narrow"/>
                <family val="2"/>
                <charset val="1"/>
              </font>
              <fill>
                <patternFill>
                  <bgColor rgb="FFFBE5D6"/>
                </patternFill>
              </fill>
            </x14:dxf>
          </x14:cfRule>
          <xm:sqref>F325:F327</xm:sqref>
        </x14:conditionalFormatting>
        <x14:conditionalFormatting xmlns:xm="http://schemas.microsoft.com/office/excel/2006/main">
          <x14:cfRule type="expression" priority="36" id="{37C04E81-DCAF-4A8F-8543-989536ABEFA2}">
            <xm:f>OR(PROJET!$E$7=0,PROJET!$E$9=0)</xm:f>
            <x14:dxf>
              <font>
                <color rgb="FF808080"/>
                <name val="Arial Narrow"/>
                <family val="2"/>
                <charset val="1"/>
              </font>
              <fill>
                <patternFill>
                  <bgColor rgb="FFFFF2CC"/>
                </patternFill>
              </fill>
            </x14:dxf>
          </x14:cfRule>
          <xm:sqref>F338:F341 F343:F345</xm:sqref>
        </x14:conditionalFormatting>
        <x14:conditionalFormatting xmlns:xm="http://schemas.microsoft.com/office/excel/2006/main">
          <x14:cfRule type="expression" priority="37" id="{226EC4AB-FE2B-4560-A1CB-A15F407A42E3}">
            <xm:f>PROJET!$E$7=0</xm:f>
            <x14:dxf>
              <font>
                <color rgb="FF808080"/>
                <name val="Arial Narrow"/>
                <family val="2"/>
                <charset val="1"/>
              </font>
              <fill>
                <patternFill>
                  <bgColor rgb="FFFFF2CC"/>
                </patternFill>
              </fill>
            </x14:dxf>
          </x14:cfRule>
          <xm:sqref>F348:F349 F352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81">
        <x14:dataValidation type="list" operator="equal" allowBlank="1" showErrorMessage="1" xr:uid="{00000000-0002-0000-0100-000004000000}">
          <x14:formula1>
            <xm:f>Données!$B$85:$B$87</xm:f>
          </x14:formula1>
          <x14:formula2>
            <xm:f>0</xm:f>
          </x14:formula2>
          <xm:sqref>E41</xm:sqref>
        </x14:dataValidation>
        <x14:dataValidation type="list" allowBlank="1" showInputMessage="1" showErrorMessage="1" xr:uid="{00000000-0002-0000-0100-000005000000}">
          <x14:formula1>
            <xm:f>Données!$B$137:$B$141</xm:f>
          </x14:formula1>
          <x14:formula2>
            <xm:f>0</xm:f>
          </x14:formula2>
          <xm:sqref>C80:C81</xm:sqref>
        </x14:dataValidation>
        <x14:dataValidation type="list" allowBlank="1" showInputMessage="1" showErrorMessage="1" xr:uid="{00000000-0002-0000-0100-000006000000}">
          <x14:formula1>
            <xm:f>Données!$B$147:$B$154</xm:f>
          </x14:formula1>
          <x14:formula2>
            <xm:f>0</xm:f>
          </x14:formula2>
          <xm:sqref>C83:C84</xm:sqref>
        </x14:dataValidation>
        <x14:dataValidation type="list" allowBlank="1" showInputMessage="1" showErrorMessage="1" xr:uid="{00000000-0002-0000-0100-000007000000}">
          <x14:formula1>
            <xm:f>Données!$B$156:$B$166</xm:f>
          </x14:formula1>
          <x14:formula2>
            <xm:f>0</xm:f>
          </x14:formula2>
          <xm:sqref>C86:C87</xm:sqref>
        </x14:dataValidation>
        <x14:dataValidation type="list" allowBlank="1" showInputMessage="1" showErrorMessage="1" xr:uid="{00000000-0002-0000-0100-000008000000}">
          <x14:formula1>
            <xm:f>Données!$B$179:$B$184</xm:f>
          </x14:formula1>
          <x14:formula2>
            <xm:f>0</xm:f>
          </x14:formula2>
          <xm:sqref>C89:C90</xm:sqref>
        </x14:dataValidation>
        <x14:dataValidation type="list" allowBlank="1" showInputMessage="1" showErrorMessage="1" xr:uid="{00000000-0002-0000-0100-000009000000}">
          <x14:formula1>
            <xm:f>Données!$B$201:$B$209</xm:f>
          </x14:formula1>
          <x14:formula2>
            <xm:f>0</xm:f>
          </x14:formula2>
          <xm:sqref>C99:C100</xm:sqref>
        </x14:dataValidation>
        <x14:dataValidation type="list" allowBlank="1" showInputMessage="1" showErrorMessage="1" xr:uid="{00000000-0002-0000-0100-00000A000000}">
          <x14:formula1>
            <xm:f>Données!$B$210:$B$217</xm:f>
          </x14:formula1>
          <x14:formula2>
            <xm:f>0</xm:f>
          </x14:formula2>
          <xm:sqref>C101:C102</xm:sqref>
        </x14:dataValidation>
        <x14:dataValidation type="list" allowBlank="1" showInputMessage="1" showErrorMessage="1" xr:uid="{00000000-0002-0000-0100-00000B000000}">
          <x14:formula1>
            <xm:f>Données!$B$218:$B$228</xm:f>
          </x14:formula1>
          <x14:formula2>
            <xm:f>0</xm:f>
          </x14:formula2>
          <xm:sqref>C104:C107</xm:sqref>
        </x14:dataValidation>
        <x14:dataValidation type="list" allowBlank="1" showInputMessage="1" showErrorMessage="1" xr:uid="{00000000-0002-0000-0100-00000C000000}">
          <x14:formula1>
            <xm:f>Données!$B$239:$B$244</xm:f>
          </x14:formula1>
          <x14:formula2>
            <xm:f>0</xm:f>
          </x14:formula2>
          <xm:sqref>C117:C118</xm:sqref>
        </x14:dataValidation>
        <x14:dataValidation type="list" allowBlank="1" showInputMessage="1" showErrorMessage="1" xr:uid="{00000000-0002-0000-0100-00000D000000}">
          <x14:formula1>
            <xm:f>Données!$B$245:$B$249</xm:f>
          </x14:formula1>
          <x14:formula2>
            <xm:f>0</xm:f>
          </x14:formula2>
          <xm:sqref>C120:C121</xm:sqref>
        </x14:dataValidation>
        <x14:dataValidation type="list" allowBlank="1" showInputMessage="1" showErrorMessage="1" xr:uid="{00000000-0002-0000-0100-00000E000000}">
          <x14:formula1>
            <xm:f>Données!$B$250:$B$253</xm:f>
          </x14:formula1>
          <x14:formula2>
            <xm:f>0</xm:f>
          </x14:formula2>
          <xm:sqref>C123:C124</xm:sqref>
        </x14:dataValidation>
        <x14:dataValidation type="list" allowBlank="1" showInputMessage="1" showErrorMessage="1" xr:uid="{00000000-0002-0000-0100-00000F000000}">
          <x14:formula1>
            <xm:f>Données!$B$255:$B$259</xm:f>
          </x14:formula1>
          <x14:formula2>
            <xm:f>0</xm:f>
          </x14:formula2>
          <xm:sqref>C130:C131</xm:sqref>
        </x14:dataValidation>
        <x14:dataValidation type="list" allowBlank="1" showInputMessage="1" showErrorMessage="1" xr:uid="{00000000-0002-0000-0100-000010000000}">
          <x14:formula1>
            <xm:f>Données!$B$260:$B$265</xm:f>
          </x14:formula1>
          <x14:formula2>
            <xm:f>0</xm:f>
          </x14:formula2>
          <xm:sqref>C133:C134</xm:sqref>
        </x14:dataValidation>
        <x14:dataValidation type="list" allowBlank="1" showInputMessage="1" showErrorMessage="1" xr:uid="{00000000-0002-0000-0100-000011000000}">
          <x14:formula1>
            <xm:f>Données!$B$266:$B$274</xm:f>
          </x14:formula1>
          <x14:formula2>
            <xm:f>0</xm:f>
          </x14:formula2>
          <xm:sqref>C136:C137</xm:sqref>
        </x14:dataValidation>
        <x14:dataValidation type="list" allowBlank="1" showInputMessage="1" showErrorMessage="1" xr:uid="{00000000-0002-0000-0100-000012000000}">
          <x14:formula1>
            <xm:f>Données!$B$275:$B$281</xm:f>
          </x14:formula1>
          <x14:formula2>
            <xm:f>0</xm:f>
          </x14:formula2>
          <xm:sqref>C139:C140</xm:sqref>
        </x14:dataValidation>
        <x14:dataValidation type="list" allowBlank="1" showInputMessage="1" showErrorMessage="1" xr:uid="{00000000-0002-0000-0100-000013000000}">
          <x14:formula1>
            <xm:f>Données!$B$282:$B$291</xm:f>
          </x14:formula1>
          <x14:formula2>
            <xm:f>0</xm:f>
          </x14:formula2>
          <xm:sqref>C142:C143</xm:sqref>
        </x14:dataValidation>
        <x14:dataValidation type="list" allowBlank="1" showInputMessage="1" showErrorMessage="1" xr:uid="{00000000-0002-0000-0100-000014000000}">
          <x14:formula1>
            <xm:f>Données!$B$292:$B$297</xm:f>
          </x14:formula1>
          <x14:formula2>
            <xm:f>0</xm:f>
          </x14:formula2>
          <xm:sqref>C145:C146</xm:sqref>
        </x14:dataValidation>
        <x14:dataValidation type="list" operator="equal" allowBlank="1" showErrorMessage="1" xr:uid="{00000000-0002-0000-0100-000015000000}">
          <x14:formula1>
            <xm:f>Données!$B$732:$B$735</xm:f>
          </x14:formula1>
          <x14:formula2>
            <xm:f>0</xm:f>
          </x14:formula2>
          <xm:sqref>E312</xm:sqref>
        </x14:dataValidation>
        <x14:dataValidation type="list" operator="equal" allowBlank="1" showErrorMessage="1" xr:uid="{00000000-0002-0000-0100-000016000000}">
          <x14:formula1>
            <xm:f>Données!$B$740:$B$743</xm:f>
          </x14:formula1>
          <x14:formula2>
            <xm:f>0</xm:f>
          </x14:formula2>
          <xm:sqref>E318</xm:sqref>
        </x14:dataValidation>
        <x14:dataValidation type="list" operator="equal" allowBlank="1" showErrorMessage="1" xr:uid="{00000000-0002-0000-0100-000017000000}">
          <x14:formula1>
            <xm:f>Données!$B$748:$B$751</xm:f>
          </x14:formula1>
          <x14:formula2>
            <xm:f>0</xm:f>
          </x14:formula2>
          <xm:sqref>E324</xm:sqref>
        </x14:dataValidation>
        <x14:dataValidation type="list" operator="equal" allowBlank="1" showErrorMessage="1" xr:uid="{00000000-0002-0000-0100-000018000000}">
          <x14:formula1>
            <xm:f>Données!$B$703:$B$707</xm:f>
          </x14:formula1>
          <x14:formula2>
            <xm:f>0</xm:f>
          </x14:formula2>
          <xm:sqref>E313 E319 E325 E331</xm:sqref>
        </x14:dataValidation>
        <x14:dataValidation type="list" operator="equal" allowBlank="1" showErrorMessage="1" xr:uid="{00000000-0002-0000-0100-000019000000}">
          <x14:formula1>
            <xm:f>Données!$B$708:$B$712</xm:f>
          </x14:formula1>
          <x14:formula2>
            <xm:f>0</xm:f>
          </x14:formula2>
          <xm:sqref>E314 E320 E326 E332</xm:sqref>
        </x14:dataValidation>
        <x14:dataValidation type="list" operator="equal" allowBlank="1" showErrorMessage="1" xr:uid="{00000000-0002-0000-0100-00001A000000}">
          <x14:formula1>
            <xm:f>Données!$B$713:$B$717</xm:f>
          </x14:formula1>
          <x14:formula2>
            <xm:f>0</xm:f>
          </x14:formula2>
          <xm:sqref>E315 E321 E327 E333</xm:sqref>
        </x14:dataValidation>
        <x14:dataValidation type="list" operator="equal" allowBlank="1" showErrorMessage="1" xr:uid="{00000000-0002-0000-0100-00001B000000}">
          <x14:formula1>
            <xm:f>Données!$B$719:$B$722</xm:f>
          </x14:formula1>
          <x14:formula2>
            <xm:f>0</xm:f>
          </x14:formula2>
          <xm:sqref>F313 F319 F325 F331</xm:sqref>
        </x14:dataValidation>
        <x14:dataValidation type="list" operator="equal" allowBlank="1" showErrorMessage="1" xr:uid="{00000000-0002-0000-0100-00001C000000}">
          <x14:formula1>
            <xm:f>Données!$B$723:$B$726</xm:f>
          </x14:formula1>
          <x14:formula2>
            <xm:f>0</xm:f>
          </x14:formula2>
          <xm:sqref>F314 F320 F326 F332</xm:sqref>
        </x14:dataValidation>
        <x14:dataValidation type="list" operator="equal" allowBlank="1" showErrorMessage="1" xr:uid="{00000000-0002-0000-0100-00001D000000}">
          <x14:formula1>
            <xm:f>Données!$B$727:$B$730</xm:f>
          </x14:formula1>
          <x14:formula2>
            <xm:f>0</xm:f>
          </x14:formula2>
          <xm:sqref>F315 F321 F327 F333</xm:sqref>
        </x14:dataValidation>
        <x14:dataValidation type="list" operator="equal" allowBlank="1" showErrorMessage="1" xr:uid="{00000000-0002-0000-0100-00001E000000}">
          <x14:formula1>
            <xm:f>Données!$B$774:$B$777</xm:f>
          </x14:formula1>
          <x14:formula2>
            <xm:f>0</xm:f>
          </x14:formula2>
          <xm:sqref>E341</xm:sqref>
        </x14:dataValidation>
        <x14:dataValidation type="list" operator="equal" allowBlank="1" showErrorMessage="1" xr:uid="{00000000-0002-0000-0100-00001F000000}">
          <x14:formula1>
            <xm:f>Données!$B$778:$B$781</xm:f>
          </x14:formula1>
          <x14:formula2>
            <xm:f>0</xm:f>
          </x14:formula2>
          <xm:sqref>F341</xm:sqref>
        </x14:dataValidation>
        <x14:dataValidation type="list" operator="equal" allowBlank="1" showErrorMessage="1" xr:uid="{00000000-0002-0000-0100-000020000000}">
          <x14:formula1>
            <xm:f>Données!$B$770:$B$773</xm:f>
          </x14:formula1>
          <x14:formula2>
            <xm:f>0</xm:f>
          </x14:formula2>
          <xm:sqref>E340</xm:sqref>
        </x14:dataValidation>
        <x14:dataValidation type="list" allowBlank="1" showInputMessage="1" showErrorMessage="1" xr:uid="{00000000-0002-0000-0100-000021000000}">
          <x14:formula1>
            <xm:f>Données!$B$91:$B$95</xm:f>
          </x14:formula1>
          <x14:formula2>
            <xm:f>0</xm:f>
          </x14:formula2>
          <xm:sqref>C48:C49</xm:sqref>
        </x14:dataValidation>
        <x14:dataValidation type="list" allowBlank="1" showInputMessage="1" showErrorMessage="1" xr:uid="{00000000-0002-0000-0100-000022000000}">
          <x14:formula1>
            <xm:f>Données!$B$80:$B$84</xm:f>
          </x14:formula1>
          <x14:formula2>
            <xm:f>0</xm:f>
          </x14:formula2>
          <xm:sqref>C38:C39</xm:sqref>
        </x14:dataValidation>
        <x14:dataValidation type="list" operator="equal" allowBlank="1" showInputMessage="1" showErrorMessage="1" xr:uid="{00000000-0002-0000-0100-000023000000}">
          <x14:formula1>
            <xm:f>'Data-Liste'!$A$11:$A$32</xm:f>
          </x14:formula1>
          <x14:formula2>
            <xm:f>0</xm:f>
          </x14:formula2>
          <xm:sqref>E38:E39 E48 E55 E57:E58 E60:E61 E78 E80:F81 E83:F84 E86:F87 E89:F90 E92:F93 E99:F102 E104:F107 E109:F110 E117:F118 E120:F121 E123:F124 E130:F131 E142:F143</xm:sqref>
        </x14:dataValidation>
        <x14:dataValidation type="list" allowBlank="1" showInputMessage="1" showErrorMessage="1" xr:uid="{00000000-0002-0000-0100-000024000000}">
          <x14:formula1>
            <xm:f>Données!$B$101:$B$107</xm:f>
          </x14:formula1>
          <x14:formula2>
            <xm:f>0</xm:f>
          </x14:formula2>
          <xm:sqref>C57:C58</xm:sqref>
        </x14:dataValidation>
        <x14:dataValidation type="list" allowBlank="1" showInputMessage="1" showErrorMessage="1" xr:uid="{00000000-0002-0000-0100-000025000000}">
          <x14:formula1>
            <xm:f>Données!$B$108:$B$115</xm:f>
          </x14:formula1>
          <x14:formula2>
            <xm:f>0</xm:f>
          </x14:formula2>
          <xm:sqref>C60:C61</xm:sqref>
        </x14:dataValidation>
        <x14:dataValidation type="list" allowBlank="1" showInputMessage="1" showErrorMessage="1" xr:uid="{00000000-0002-0000-0100-000026000000}">
          <x14:formula1>
            <xm:f>Données!$B$116:$B$120</xm:f>
          </x14:formula1>
          <x14:formula2>
            <xm:f>0</xm:f>
          </x14:formula2>
          <xm:sqref>C63:C64</xm:sqref>
        </x14:dataValidation>
        <x14:dataValidation type="list" allowBlank="1" showInputMessage="1" showErrorMessage="1" xr:uid="{00000000-0002-0000-0100-000027000000}">
          <x14:formula1>
            <xm:f>Données!$B$126:$B$130</xm:f>
          </x14:formula1>
          <x14:formula2>
            <xm:f>0</xm:f>
          </x14:formula2>
          <xm:sqref>C69:C70</xm:sqref>
        </x14:dataValidation>
        <x14:dataValidation type="list" operator="equal" allowBlank="1" showErrorMessage="1" xr:uid="{00000000-0002-0000-0100-000028000000}">
          <x14:formula1>
            <xm:f>Données!$B$676:$B$678</xm:f>
          </x14:formula1>
          <x14:formula2>
            <xm:f>0</xm:f>
          </x14:formula2>
          <xm:sqref>E289:F289</xm:sqref>
        </x14:dataValidation>
        <x14:dataValidation type="list" operator="equal" allowBlank="1" showErrorMessage="1" xr:uid="{00000000-0002-0000-0100-000029000000}">
          <x14:formula1>
            <xm:f>Données!$B$352:$B$355</xm:f>
          </x14:formula1>
          <x14:formula2>
            <xm:f>0</xm:f>
          </x14:formula2>
          <xm:sqref>E184:F184</xm:sqref>
        </x14:dataValidation>
        <x14:dataValidation type="list" allowBlank="1" showInputMessage="1" showErrorMessage="1" xr:uid="{00000000-0002-0000-0100-00002A000000}">
          <x14:formula1>
            <xm:f>Données!$B$357:$B$361</xm:f>
          </x14:formula1>
          <x14:formula2>
            <xm:f>0</xm:f>
          </x14:formula2>
          <xm:sqref>E187:F187</xm:sqref>
        </x14:dataValidation>
        <x14:dataValidation type="list" allowBlank="1" showInputMessage="1" showErrorMessage="1" xr:uid="{00000000-0002-0000-0100-00002B000000}">
          <x14:formula1>
            <xm:f>Données!$B$362:$B$365</xm:f>
          </x14:formula1>
          <x14:formula2>
            <xm:f>0</xm:f>
          </x14:formula2>
          <xm:sqref>E188:F188</xm:sqref>
        </x14:dataValidation>
        <x14:dataValidation type="list" allowBlank="1" showInputMessage="1" showErrorMessage="1" xr:uid="{00000000-0002-0000-0100-00002C000000}">
          <x14:formula1>
            <xm:f>Données!$B$366:$B$369</xm:f>
          </x14:formula1>
          <x14:formula2>
            <xm:f>0</xm:f>
          </x14:formula2>
          <xm:sqref>E189:F189</xm:sqref>
        </x14:dataValidation>
        <x14:dataValidation type="list" allowBlank="1" showInputMessage="1" showErrorMessage="1" xr:uid="{00000000-0002-0000-0100-00002D000000}">
          <x14:formula1>
            <xm:f>Données!$B$373:$B$377</xm:f>
          </x14:formula1>
          <x14:formula2>
            <xm:f>0</xm:f>
          </x14:formula2>
          <xm:sqref>E193:F193</xm:sqref>
        </x14:dataValidation>
        <x14:dataValidation type="list" allowBlank="1" showInputMessage="1" showErrorMessage="1" xr:uid="{00000000-0002-0000-0100-00002E000000}">
          <x14:formula1>
            <xm:f>Données!$B$396:$B$399</xm:f>
          </x14:formula1>
          <x14:formula2>
            <xm:f>0</xm:f>
          </x14:formula2>
          <xm:sqref>E194:F194</xm:sqref>
        </x14:dataValidation>
        <x14:dataValidation type="list" allowBlank="1" showInputMessage="1" showErrorMessage="1" xr:uid="{00000000-0002-0000-0100-00002F000000}">
          <x14:formula1>
            <xm:f>Données!$B$400:$B$403</xm:f>
          </x14:formula1>
          <x14:formula2>
            <xm:f>0</xm:f>
          </x14:formula2>
          <xm:sqref>E195:F195</xm:sqref>
        </x14:dataValidation>
        <x14:dataValidation type="list" allowBlank="1" showInputMessage="1" showErrorMessage="1" xr:uid="{00000000-0002-0000-0100-000030000000}">
          <x14:formula1>
            <xm:f>Données!$B$419:$B$422</xm:f>
          </x14:formula1>
          <x14:formula2>
            <xm:f>0</xm:f>
          </x14:formula2>
          <xm:sqref>E206:F206</xm:sqref>
        </x14:dataValidation>
        <x14:dataValidation type="list" allowBlank="1" showInputMessage="1" showErrorMessage="1" xr:uid="{00000000-0002-0000-0100-000031000000}">
          <x14:formula1>
            <xm:f>Données!$B$424:$B$427</xm:f>
          </x14:formula1>
          <x14:formula2>
            <xm:f>0</xm:f>
          </x14:formula2>
          <xm:sqref>E208:F208</xm:sqref>
        </x14:dataValidation>
        <x14:dataValidation type="list" allowBlank="1" showInputMessage="1" showErrorMessage="1" xr:uid="{00000000-0002-0000-0100-000032000000}">
          <x14:formula1>
            <xm:f>Données!$B$429:$B$432</xm:f>
          </x14:formula1>
          <x14:formula2>
            <xm:f>0</xm:f>
          </x14:formula2>
          <xm:sqref>E210:F210</xm:sqref>
        </x14:dataValidation>
        <x14:dataValidation type="list" allowBlank="1" showInputMessage="1" showErrorMessage="1" xr:uid="{00000000-0002-0000-0100-000033000000}">
          <x14:formula1>
            <xm:f>Données!$B$439:$B$442</xm:f>
          </x14:formula1>
          <x14:formula2>
            <xm:f>0</xm:f>
          </x14:formula2>
          <xm:sqref>E216:F216</xm:sqref>
        </x14:dataValidation>
        <x14:dataValidation type="list" allowBlank="1" showInputMessage="1" showErrorMessage="1" xr:uid="{00000000-0002-0000-0100-000034000000}">
          <x14:formula1>
            <xm:f>Données!$B$444:$B$447</xm:f>
          </x14:formula1>
          <x14:formula2>
            <xm:f>0</xm:f>
          </x14:formula2>
          <xm:sqref>E218:F218</xm:sqref>
        </x14:dataValidation>
        <x14:dataValidation type="list" allowBlank="1" showInputMessage="1" showErrorMessage="1" xr:uid="{00000000-0002-0000-0100-000035000000}">
          <x14:formula1>
            <xm:f>Données!$B$449:$B$452</xm:f>
          </x14:formula1>
          <x14:formula2>
            <xm:f>0</xm:f>
          </x14:formula2>
          <xm:sqref>E220:F220</xm:sqref>
        </x14:dataValidation>
        <x14:dataValidation type="list" allowBlank="1" showInputMessage="1" showErrorMessage="1" xr:uid="{00000000-0002-0000-0100-000036000000}">
          <x14:formula1>
            <xm:f>Données!$B$511:$B$514</xm:f>
          </x14:formula1>
          <x14:formula2>
            <xm:f>0</xm:f>
          </x14:formula2>
          <xm:sqref>E227:F227</xm:sqref>
        </x14:dataValidation>
        <x14:dataValidation type="list" allowBlank="1" showInputMessage="1" showErrorMessage="1" xr:uid="{00000000-0002-0000-0100-000037000000}">
          <x14:formula1>
            <xm:f>Données!$B$516:$B$519</xm:f>
          </x14:formula1>
          <x14:formula2>
            <xm:f>0</xm:f>
          </x14:formula2>
          <xm:sqref>E228:F228</xm:sqref>
        </x14:dataValidation>
        <x14:dataValidation type="list" operator="equal" allowBlank="1" showErrorMessage="1" xr:uid="{00000000-0002-0000-0100-000038000000}">
          <x14:formula1>
            <xm:f>Données!$B$523:$B$526</xm:f>
          </x14:formula1>
          <x14:formula2>
            <xm:f>0</xm:f>
          </x14:formula2>
          <xm:sqref>E232:F232</xm:sqref>
        </x14:dataValidation>
        <x14:dataValidation type="list" operator="equal" allowBlank="1" showErrorMessage="1" xr:uid="{00000000-0002-0000-0100-000039000000}">
          <x14:formula1>
            <xm:f>Données!$B$528:$B$531</xm:f>
          </x14:formula1>
          <x14:formula2>
            <xm:f>0</xm:f>
          </x14:formula2>
          <xm:sqref>E234:F234</xm:sqref>
        </x14:dataValidation>
        <x14:dataValidation type="list" operator="equal" allowBlank="1" showErrorMessage="1" xr:uid="{00000000-0002-0000-0100-00003A000000}">
          <x14:formula1>
            <xm:f>Données!$B$532:$B$536</xm:f>
          </x14:formula1>
          <x14:formula2>
            <xm:f>0</xm:f>
          </x14:formula2>
          <xm:sqref>E235:F235</xm:sqref>
        </x14:dataValidation>
        <x14:dataValidation type="list" allowBlank="1" showInputMessage="1" showErrorMessage="1" xr:uid="{00000000-0002-0000-0100-00003B000000}">
          <x14:formula1>
            <xm:f>Données!$B$306:$B$309</xm:f>
          </x14:formula1>
          <x14:formula2>
            <xm:f>0</xm:f>
          </x14:formula2>
          <xm:sqref>C155</xm:sqref>
        </x14:dataValidation>
        <x14:dataValidation type="list" allowBlank="1" showInputMessage="1" showErrorMessage="1" xr:uid="{00000000-0002-0000-0100-00003C000000}">
          <x14:formula1>
            <xm:f>Données!$B$323:$B$326</xm:f>
          </x14:formula1>
          <x14:formula2>
            <xm:f>0</xm:f>
          </x14:formula2>
          <xm:sqref>C160</xm:sqref>
        </x14:dataValidation>
        <x14:dataValidation type="list" allowBlank="1" showInputMessage="1" showErrorMessage="1" xr:uid="{00000000-0002-0000-0100-00003D000000}">
          <x14:formula1>
            <xm:f>Données!$B$300:$B$303</xm:f>
          </x14:formula1>
          <x14:formula2>
            <xm:f>0</xm:f>
          </x14:formula2>
          <xm:sqref>C152</xm:sqref>
        </x14:dataValidation>
        <x14:dataValidation type="list" operator="equal" allowBlank="1" showErrorMessage="1" xr:uid="{00000000-0002-0000-0100-00003E000000}">
          <x14:formula1>
            <xm:f>Données!$B$540:$B$544</xm:f>
          </x14:formula1>
          <x14:formula2>
            <xm:f>0</xm:f>
          </x14:formula2>
          <xm:sqref>E241:F241</xm:sqref>
        </x14:dataValidation>
        <x14:dataValidation type="list" operator="equal" allowBlank="1" showErrorMessage="1" xr:uid="{00000000-0002-0000-0100-00003F000000}">
          <x14:formula1>
            <xm:f>Données!$B$545:$B$548</xm:f>
          </x14:formula1>
          <x14:formula2>
            <xm:f>0</xm:f>
          </x14:formula2>
          <xm:sqref>E242:F242</xm:sqref>
        </x14:dataValidation>
        <x14:dataValidation type="list" operator="equal" allowBlank="1" showErrorMessage="1" xr:uid="{00000000-0002-0000-0100-000040000000}">
          <x14:formula1>
            <xm:f>Données!$B$550:$B$554</xm:f>
          </x14:formula1>
          <x14:formula2>
            <xm:f>0</xm:f>
          </x14:formula2>
          <xm:sqref>E243:F243</xm:sqref>
        </x14:dataValidation>
        <x14:dataValidation type="list" operator="equal" allowBlank="1" showErrorMessage="1" xr:uid="{00000000-0002-0000-0100-000041000000}">
          <x14:formula1>
            <xm:f>Données!$B$555:$B$558</xm:f>
          </x14:formula1>
          <x14:formula2>
            <xm:f>0</xm:f>
          </x14:formula2>
          <xm:sqref>E244:F244</xm:sqref>
        </x14:dataValidation>
        <x14:dataValidation type="list" operator="equal" allowBlank="1" showErrorMessage="1" xr:uid="{00000000-0002-0000-0100-000042000000}">
          <x14:formula1>
            <xm:f>Données!$B$567:$B$569</xm:f>
          </x14:formula1>
          <x14:formula2>
            <xm:f>0</xm:f>
          </x14:formula2>
          <xm:sqref>E252:F252</xm:sqref>
        </x14:dataValidation>
        <x14:dataValidation type="list" operator="equal" allowBlank="1" showErrorMessage="1" xr:uid="{00000000-0002-0000-0100-000043000000}">
          <x14:formula1>
            <xm:f>Données!$B$581:$B$586</xm:f>
          </x14:formula1>
          <x14:formula2>
            <xm:f>0</xm:f>
          </x14:formula2>
          <xm:sqref>E264:F264</xm:sqref>
        </x14:dataValidation>
        <x14:dataValidation type="list" operator="equal" allowBlank="1" showErrorMessage="1" xr:uid="{00000000-0002-0000-0100-000044000000}">
          <x14:formula1>
            <xm:f>Données!$B$587:$B$592</xm:f>
          </x14:formula1>
          <x14:formula2>
            <xm:f>0</xm:f>
          </x14:formula2>
          <xm:sqref>E265:F265</xm:sqref>
        </x14:dataValidation>
        <x14:dataValidation type="list" operator="equal" allowBlank="1" showErrorMessage="1" xr:uid="{00000000-0002-0000-0100-000045000000}">
          <x14:formula1>
            <xm:f>Données!$B$600:$B$602</xm:f>
          </x14:formula1>
          <x14:formula2>
            <xm:f>0</xm:f>
          </x14:formula2>
          <xm:sqref>E271:F271</xm:sqref>
        </x14:dataValidation>
        <x14:dataValidation type="list" operator="equal" allowBlank="1" showErrorMessage="1" xr:uid="{00000000-0002-0000-0100-000046000000}">
          <x14:formula1>
            <xm:f>Données!$B$618:$B$624</xm:f>
          </x14:formula1>
          <x14:formula2>
            <xm:f>0</xm:f>
          </x14:formula2>
          <xm:sqref>E276:F276</xm:sqref>
        </x14:dataValidation>
        <x14:dataValidation type="list" operator="equal" allowBlank="1" showErrorMessage="1" xr:uid="{00000000-0002-0000-0100-000047000000}">
          <x14:formula1>
            <xm:f>Données!$B$627:$B$633</xm:f>
          </x14:formula1>
          <x14:formula2>
            <xm:f>0</xm:f>
          </x14:formula2>
          <xm:sqref>E277:F277</xm:sqref>
        </x14:dataValidation>
        <x14:dataValidation type="list" operator="equal" allowBlank="1" showErrorMessage="1" xr:uid="{00000000-0002-0000-0100-000048000000}">
          <x14:formula1>
            <xm:f>Données!$B$661:$B$664</xm:f>
          </x14:formula1>
          <x14:formula2>
            <xm:f>0</xm:f>
          </x14:formula2>
          <xm:sqref>E283:F283</xm:sqref>
        </x14:dataValidation>
        <x14:dataValidation type="list" operator="equal" allowBlank="1" showErrorMessage="1" xr:uid="{00000000-0002-0000-0100-000049000000}">
          <x14:formula1>
            <xm:f>Données!$B$670:$B$673</xm:f>
          </x14:formula1>
          <x14:formula2>
            <xm:f>0</xm:f>
          </x14:formula2>
          <xm:sqref>E285:F285</xm:sqref>
        </x14:dataValidation>
        <x14:dataValidation type="list" operator="equal" allowBlank="1" showErrorMessage="1" xr:uid="{00000000-0002-0000-0100-00004A000000}">
          <x14:formula1>
            <xm:f>Données!$B$688:$B$690</xm:f>
          </x14:formula1>
          <x14:formula2>
            <xm:f>0</xm:f>
          </x14:formula2>
          <xm:sqref>E306</xm:sqref>
        </x14:dataValidation>
        <x14:dataValidation type="list" operator="equal" allowBlank="1" showErrorMessage="1" xr:uid="{00000000-0002-0000-0100-00004B000000}">
          <x14:formula1>
            <xm:f>Données!$B$691:$B$694</xm:f>
          </x14:formula1>
          <x14:formula2>
            <xm:f>0</xm:f>
          </x14:formula2>
          <xm:sqref>E307</xm:sqref>
        </x14:dataValidation>
        <x14:dataValidation type="list" allowBlank="1" showInputMessage="1" showErrorMessage="1" xr:uid="{00000000-0002-0000-0100-00004C000000}">
          <x14:formula1>
            <xm:f>Données!$B$334:$B$337</xm:f>
          </x14:formula1>
          <x14:formula2>
            <xm:f>0</xm:f>
          </x14:formula2>
          <xm:sqref>C163</xm:sqref>
        </x14:dataValidation>
        <x14:dataValidation type="list" operator="equal" allowBlank="1" showErrorMessage="1" xr:uid="{00000000-0002-0000-0100-00004D000000}">
          <x14:formula1>
            <xm:f>Données!$B$790:$B$794</xm:f>
          </x14:formula1>
          <x14:formula2>
            <xm:f>0</xm:f>
          </x14:formula2>
          <xm:sqref>E353</xm:sqref>
        </x14:dataValidation>
        <x14:dataValidation type="list" operator="equal" allowBlank="1" showErrorMessage="1" xr:uid="{00000000-0002-0000-0100-00004E000000}">
          <x14:formula1>
            <xm:f>Données!$B$760:$B$763</xm:f>
          </x14:formula1>
          <x14:formula2>
            <xm:f>0</xm:f>
          </x14:formula2>
          <xm:sqref>E330</xm:sqref>
        </x14:dataValidation>
        <x14:dataValidation type="list" operator="equal" allowBlank="1" showErrorMessage="1" xr:uid="{00000000-0002-0000-0100-00004F000000}">
          <x14:formula1>
            <xm:f>Données!$B$406:$B$409</xm:f>
          </x14:formula1>
          <x14:formula2>
            <xm:f>0</xm:f>
          </x14:formula2>
          <xm:sqref>E201:F201</xm:sqref>
        </x14:dataValidation>
        <x14:dataValidation type="list" allowBlank="1" showInputMessage="1" showErrorMessage="1" xr:uid="{00000000-0002-0000-0100-000050000000}">
          <x14:formula1>
            <xm:f>Données!$B$194:$B$199</xm:f>
          </x14:formula1>
          <x14:formula2>
            <xm:f>0</xm:f>
          </x14:formula2>
          <xm:sqref>C92:C93</xm:sqref>
        </x14:dataValidation>
        <x14:dataValidation type="list" allowBlank="1" showInputMessage="1" showErrorMessage="1" xr:uid="{00000000-0002-0000-0100-000051000000}">
          <x14:formula1>
            <xm:f>Données!$B$229:$B$232</xm:f>
          </x14:formula1>
          <x14:formula2>
            <xm:f>0</xm:f>
          </x14:formula2>
          <xm:sqref>C109:C110</xm:sqref>
        </x14:dataValidation>
        <x14:dataValidation type="list" allowBlank="1" showInputMessage="1" showErrorMessage="1" xr:uid="{00000000-0002-0000-0100-000052000000}">
          <x14:formula1>
            <xm:f>Données!$B$121:$B$125</xm:f>
          </x14:formula1>
          <x14:formula2>
            <xm:f>0</xm:f>
          </x14:formula2>
          <xm:sqref>C66:C67</xm:sqref>
        </x14:dataValidation>
        <x14:dataValidation operator="equal" allowBlank="1" showInputMessage="1" showErrorMessage="1" xr:uid="{00000000-0002-0000-0100-000053000000}">
          <x14:formula1>
            <xm:f>'Data-Liste'!$A$11:$A$32</xm:f>
          </x14:formula1>
          <x14:formula2>
            <xm:f>0</xm:f>
          </x14:formula2>
          <xm:sqref>E152:F155 E158:F160</xm:sqref>
        </x14:dataValidation>
        <x14:dataValidation type="list" allowBlank="1" showInputMessage="1" showErrorMessage="1" xr:uid="{00000000-0002-0000-0100-000054000000}">
          <x14:formula1>
            <xm:f>Données!$B$576:$B$579</xm:f>
          </x14:formula1>
          <x14:formula2>
            <xm:f>0</xm:f>
          </x14:formula2>
          <xm:sqref>E262:F262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M102"/>
  <sheetViews>
    <sheetView showGridLines="0" zoomScale="95" zoomScaleNormal="95" workbookViewId="0">
      <pane ySplit="5" topLeftCell="A6" activePane="bottomLeft" state="frozen"/>
      <selection pane="bottomLeft" activeCell="C2" sqref="C2:D2"/>
    </sheetView>
  </sheetViews>
  <sheetFormatPr baseColWidth="10" defaultColWidth="10.7109375" defaultRowHeight="12.75" customHeight="1" x14ac:dyDescent="0.2"/>
  <cols>
    <col min="1" max="1" width="17.7109375" style="6" customWidth="1"/>
    <col min="2" max="2" width="25.5703125" style="6" customWidth="1"/>
    <col min="3" max="3" width="15.28515625" style="424" customWidth="1"/>
    <col min="4" max="4" width="25.5703125" style="6" customWidth="1"/>
    <col min="5" max="7" width="10.7109375" style="113"/>
    <col min="8" max="8" width="10.7109375" style="113" customWidth="1"/>
    <col min="9" max="19" width="10.7109375" style="113"/>
    <col min="20" max="20" width="10.7109375" style="433"/>
    <col min="21" max="16384" width="10.7109375" style="113"/>
  </cols>
  <sheetData>
    <row r="1" spans="2:65" s="6" customFormat="1" ht="19.5" customHeight="1" x14ac:dyDescent="0.2">
      <c r="B1" s="114"/>
      <c r="C1" s="128" t="s">
        <v>393</v>
      </c>
      <c r="D1" s="18"/>
      <c r="E1" s="425"/>
      <c r="F1" s="19"/>
      <c r="G1" s="116"/>
      <c r="H1" s="123" t="s">
        <v>394</v>
      </c>
      <c r="I1" s="123" t="s">
        <v>395</v>
      </c>
      <c r="J1" s="120"/>
      <c r="K1" s="19"/>
      <c r="L1" s="719" t="s">
        <v>396</v>
      </c>
      <c r="M1" s="719"/>
      <c r="N1" s="719" t="s">
        <v>397</v>
      </c>
      <c r="O1" s="719"/>
      <c r="P1" s="719" t="s">
        <v>398</v>
      </c>
      <c r="Q1" s="719"/>
      <c r="R1" s="719" t="s">
        <v>399</v>
      </c>
      <c r="S1" s="719"/>
      <c r="T1" s="110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  <c r="BM1" s="109"/>
    </row>
    <row r="2" spans="2:65" s="6" customFormat="1" ht="19.5" customHeight="1" x14ac:dyDescent="0.2">
      <c r="B2" s="127"/>
      <c r="C2" s="713" t="str">
        <f>PROJET!C4</f>
        <v>PROJET</v>
      </c>
      <c r="D2" s="713"/>
      <c r="E2" s="19"/>
      <c r="F2" s="714" t="s">
        <v>79</v>
      </c>
      <c r="G2" s="714"/>
      <c r="H2" s="123" t="str">
        <f>PROJET!C37</f>
        <v>surface non renseignée</v>
      </c>
      <c r="I2" s="123">
        <f>EMPREINTE!G2</f>
        <v>0</v>
      </c>
      <c r="J2" s="120" t="str">
        <f>EMPREINTE!H2</f>
        <v>kg CO2e / m²</v>
      </c>
      <c r="K2" s="19"/>
      <c r="L2" s="130" t="s">
        <v>51</v>
      </c>
      <c r="M2" s="130">
        <f>PROJET!K28</f>
        <v>0</v>
      </c>
      <c r="N2" s="130" t="str">
        <f>$L2</f>
        <v>min</v>
      </c>
      <c r="O2" s="130">
        <f>PROJET!K32</f>
        <v>0</v>
      </c>
      <c r="P2" s="130" t="str">
        <f>$L2</f>
        <v>min</v>
      </c>
      <c r="Q2" s="130">
        <f>M2</f>
        <v>0</v>
      </c>
      <c r="R2" s="130" t="str">
        <f>$L2</f>
        <v>min</v>
      </c>
      <c r="S2" s="130">
        <f>O2</f>
        <v>0</v>
      </c>
      <c r="T2" s="110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  <c r="BM2" s="109"/>
    </row>
    <row r="3" spans="2:65" s="6" customFormat="1" ht="13.5" customHeight="1" x14ac:dyDescent="0.2">
      <c r="B3" s="127"/>
      <c r="C3" s="127"/>
      <c r="D3" s="127"/>
      <c r="E3" s="19"/>
      <c r="F3" s="715" t="s">
        <v>83</v>
      </c>
      <c r="G3" s="715"/>
      <c r="H3" s="123" t="str">
        <f>PROJET!C42</f>
        <v>surface non renseignée</v>
      </c>
      <c r="I3" s="123">
        <f>EMPREINTE!G3</f>
        <v>0</v>
      </c>
      <c r="J3" s="120" t="str">
        <f>EMPREINTE!H3</f>
        <v>kWh / m².an</v>
      </c>
      <c r="K3" s="19"/>
      <c r="L3" s="130" t="s">
        <v>53</v>
      </c>
      <c r="M3" s="680">
        <f>PROJET!K29</f>
        <v>0</v>
      </c>
      <c r="N3" s="130" t="str">
        <f>$L3</f>
        <v>oiseau</v>
      </c>
      <c r="O3" s="680">
        <f>PROJET!K33</f>
        <v>0</v>
      </c>
      <c r="P3" s="130" t="str">
        <f>$L3</f>
        <v>oiseau</v>
      </c>
      <c r="Q3" s="680">
        <f>EMPREINTE!M2</f>
        <v>30</v>
      </c>
      <c r="R3" s="130" t="str">
        <f>$L3</f>
        <v>oiseau</v>
      </c>
      <c r="S3" s="680">
        <f>EMPREINTE!M3</f>
        <v>70</v>
      </c>
      <c r="T3" s="110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109"/>
    </row>
    <row r="4" spans="2:65" s="6" customFormat="1" ht="13.5" customHeight="1" x14ac:dyDescent="0.2">
      <c r="B4" s="127"/>
      <c r="C4" s="127"/>
      <c r="D4" s="127"/>
      <c r="E4" s="19"/>
      <c r="F4" s="715"/>
      <c r="G4" s="715"/>
      <c r="H4" s="123" t="str">
        <f>PROJET!C43</f>
        <v>surface non renseignée</v>
      </c>
      <c r="I4" s="123">
        <f>EMPREINTE!G4</f>
        <v>0</v>
      </c>
      <c r="J4" s="120" t="str">
        <f>EMPREINTE!H4</f>
        <v>kg CO2e / m².an</v>
      </c>
      <c r="K4" s="85"/>
      <c r="L4" s="130" t="s">
        <v>54</v>
      </c>
      <c r="M4" s="130">
        <f>PROJET!K30</f>
        <v>30</v>
      </c>
      <c r="N4" s="130" t="str">
        <f>$L4</f>
        <v>max</v>
      </c>
      <c r="O4" s="130">
        <f>PROJET!K34</f>
        <v>70</v>
      </c>
      <c r="P4" s="130" t="str">
        <f>$L4</f>
        <v>max</v>
      </c>
      <c r="Q4" s="130">
        <f>M4</f>
        <v>30</v>
      </c>
      <c r="R4" s="130" t="str">
        <f>$L4</f>
        <v>max</v>
      </c>
      <c r="S4" s="130">
        <f>O4</f>
        <v>70</v>
      </c>
      <c r="T4" s="110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</row>
    <row r="5" spans="2:65" s="6" customFormat="1" ht="27.75" customHeight="1" x14ac:dyDescent="0.2">
      <c r="B5" s="57"/>
      <c r="C5" s="57"/>
      <c r="D5" s="44"/>
      <c r="E5" s="44"/>
      <c r="F5" s="716" t="s">
        <v>87</v>
      </c>
      <c r="G5" s="716"/>
      <c r="H5" s="426">
        <f>EMPREINTE!F5</f>
        <v>0</v>
      </c>
      <c r="I5" s="426">
        <f>EMPREINTE!G5</f>
        <v>0</v>
      </c>
      <c r="J5" s="120" t="str">
        <f>EMPREINTE!H5</f>
        <v>points TEC-Tec / 100</v>
      </c>
      <c r="K5" s="45"/>
      <c r="L5" s="671"/>
      <c r="M5" s="130"/>
      <c r="N5" s="132"/>
      <c r="O5" s="671"/>
      <c r="P5" s="130"/>
      <c r="Q5" s="132"/>
      <c r="R5" s="681"/>
      <c r="S5" s="681"/>
      <c r="T5" s="678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  <c r="BM5" s="139"/>
    </row>
    <row r="6" spans="2:65" s="6" customFormat="1" ht="19.5" customHeight="1" x14ac:dyDescent="0.2">
      <c r="B6" s="28"/>
      <c r="C6" s="140"/>
      <c r="D6" s="141"/>
      <c r="E6" s="141"/>
      <c r="F6" s="143"/>
      <c r="G6" s="142"/>
      <c r="H6" s="144"/>
      <c r="I6" s="144"/>
      <c r="J6" s="144"/>
      <c r="K6" s="141"/>
      <c r="L6" s="428"/>
      <c r="M6" s="179"/>
      <c r="N6" s="429"/>
      <c r="O6" s="141"/>
      <c r="P6" s="141"/>
      <c r="Q6" s="141"/>
      <c r="R6" s="141"/>
      <c r="S6" s="141"/>
      <c r="T6" s="110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</row>
    <row r="7" spans="2:65" ht="16.5" customHeight="1" x14ac:dyDescent="0.2">
      <c r="B7" s="430" t="s">
        <v>129</v>
      </c>
      <c r="C7" s="431" t="s">
        <v>400</v>
      </c>
    </row>
    <row r="8" spans="2:65" x14ac:dyDescent="0.2">
      <c r="B8" s="6" t="s">
        <v>401</v>
      </c>
      <c r="C8" s="431" t="e">
        <f>SUM(EMPREINTE!H36:J41)/1000</f>
        <v>#DIV/0!</v>
      </c>
    </row>
    <row r="9" spans="2:65" x14ac:dyDescent="0.2">
      <c r="B9" s="6" t="s">
        <v>402</v>
      </c>
      <c r="C9" s="431" t="e">
        <f>SUM(EMPREINTE!H44:J49)/1000</f>
        <v>#DIV/0!</v>
      </c>
    </row>
    <row r="10" spans="2:65" x14ac:dyDescent="0.2">
      <c r="B10" s="6" t="s">
        <v>403</v>
      </c>
      <c r="C10" s="431" t="e">
        <f>SUM(EMPREINTE!H52:J73)/1000</f>
        <v>#DIV/0!</v>
      </c>
    </row>
    <row r="11" spans="2:65" x14ac:dyDescent="0.2">
      <c r="B11" s="6" t="s">
        <v>404</v>
      </c>
      <c r="C11" s="431" t="e">
        <f>SUM(EMPREINTE!H76:J96)/1000</f>
        <v>#DIV/0!</v>
      </c>
    </row>
    <row r="12" spans="2:65" x14ac:dyDescent="0.2">
      <c r="B12" s="6" t="s">
        <v>405</v>
      </c>
      <c r="C12" s="431">
        <f>SUM(EMPREINTE!H99:J127)/1000</f>
        <v>0</v>
      </c>
    </row>
    <row r="13" spans="2:65" x14ac:dyDescent="0.2">
      <c r="B13" s="6" t="s">
        <v>406</v>
      </c>
      <c r="C13" s="431">
        <f>SUM(EMPREINTE!H130:J149)/1000</f>
        <v>0</v>
      </c>
    </row>
    <row r="14" spans="2:65" x14ac:dyDescent="0.2">
      <c r="B14" s="6" t="s">
        <v>407</v>
      </c>
      <c r="C14" s="431">
        <f>SUM(EMPREINTE!H152:J169)/1000</f>
        <v>0</v>
      </c>
    </row>
    <row r="15" spans="2:65" x14ac:dyDescent="0.2">
      <c r="B15" s="432" t="s">
        <v>408</v>
      </c>
      <c r="C15" s="431" t="e">
        <f>SUM(C8:C14)</f>
        <v>#DIV/0!</v>
      </c>
    </row>
    <row r="16" spans="2:65" x14ac:dyDescent="0.2">
      <c r="C16" s="431"/>
    </row>
    <row r="17" spans="2:21" x14ac:dyDescent="0.2">
      <c r="C17" s="431"/>
    </row>
    <row r="18" spans="2:21" x14ac:dyDescent="0.2">
      <c r="C18" s="431"/>
    </row>
    <row r="19" spans="2:21" x14ac:dyDescent="0.2">
      <c r="C19" s="431"/>
    </row>
    <row r="20" spans="2:21" x14ac:dyDescent="0.2">
      <c r="C20" s="431"/>
    </row>
    <row r="21" spans="2:21" x14ac:dyDescent="0.2">
      <c r="C21" s="431"/>
    </row>
    <row r="22" spans="2:21" x14ac:dyDescent="0.2">
      <c r="C22" s="431"/>
    </row>
    <row r="23" spans="2:21" x14ac:dyDescent="0.2">
      <c r="C23" s="431"/>
    </row>
    <row r="24" spans="2:21" x14ac:dyDescent="0.2">
      <c r="C24" s="431"/>
    </row>
    <row r="25" spans="2:21" ht="16.5" customHeight="1" x14ac:dyDescent="0.2">
      <c r="B25" s="270" t="s">
        <v>244</v>
      </c>
      <c r="C25" s="424" t="s">
        <v>409</v>
      </c>
    </row>
    <row r="26" spans="2:21" x14ac:dyDescent="0.2">
      <c r="B26" s="6" t="s">
        <v>410</v>
      </c>
      <c r="C26" s="424">
        <f>SUM(EMPREINTE!H174:I180)/1000</f>
        <v>0</v>
      </c>
    </row>
    <row r="27" spans="2:21" ht="15.75" x14ac:dyDescent="0.25">
      <c r="B27" s="6" t="s">
        <v>411</v>
      </c>
      <c r="C27" s="424">
        <f>SUM(EMPREINTE!H184:I196)/1000</f>
        <v>0</v>
      </c>
      <c r="L27" s="722" t="s">
        <v>412</v>
      </c>
      <c r="M27" s="722"/>
      <c r="N27" s="722"/>
      <c r="O27" s="722"/>
      <c r="P27" s="722"/>
      <c r="Q27" s="722"/>
      <c r="R27" s="722"/>
      <c r="S27" s="722"/>
      <c r="T27" s="679" t="s">
        <v>413</v>
      </c>
    </row>
    <row r="28" spans="2:21" x14ac:dyDescent="0.2">
      <c r="B28" s="6" t="s">
        <v>414</v>
      </c>
      <c r="C28" s="424">
        <f>SUM(EMPREINTE!H201:I222)/1000</f>
        <v>0</v>
      </c>
    </row>
    <row r="29" spans="2:21" x14ac:dyDescent="0.2">
      <c r="B29" s="6" t="s">
        <v>415</v>
      </c>
      <c r="C29" s="424">
        <f>SUM(EMPREINTE!H227:I236)/1000</f>
        <v>0</v>
      </c>
      <c r="L29" s="720" t="s">
        <v>416</v>
      </c>
      <c r="M29" s="720"/>
      <c r="N29" s="720" t="s">
        <v>417</v>
      </c>
      <c r="O29" s="720"/>
      <c r="P29" s="720" t="s">
        <v>418</v>
      </c>
      <c r="Q29" s="720"/>
      <c r="R29" s="720" t="s">
        <v>419</v>
      </c>
      <c r="S29" s="720"/>
      <c r="T29" s="434">
        <f>EMPREINTE!J2</f>
        <v>0</v>
      </c>
      <c r="U29" s="435" t="str">
        <f>EMPREINTE!K2</f>
        <v>en déplacements</v>
      </c>
    </row>
    <row r="30" spans="2:21" x14ac:dyDescent="0.2">
      <c r="B30" s="6" t="s">
        <v>420</v>
      </c>
      <c r="C30" s="424" t="e">
        <f>SUM(EMPREINTE!H241:I245)/1000</f>
        <v>#DIV/0!</v>
      </c>
      <c r="L30" s="717">
        <f>M3</f>
        <v>0</v>
      </c>
      <c r="M30" s="717"/>
      <c r="N30" s="717">
        <f>Q3</f>
        <v>30</v>
      </c>
      <c r="O30" s="717"/>
      <c r="P30" s="721">
        <f>O3</f>
        <v>0</v>
      </c>
      <c r="Q30" s="721"/>
      <c r="R30" s="721">
        <f>S3</f>
        <v>70</v>
      </c>
      <c r="S30" s="721"/>
      <c r="T30" s="436">
        <f>EMPREINTE!J3</f>
        <v>0</v>
      </c>
      <c r="U30" s="437" t="str">
        <f>EMPREINTE!K3</f>
        <v>en restauration</v>
      </c>
    </row>
    <row r="31" spans="2:21" x14ac:dyDescent="0.2">
      <c r="B31" s="6" t="s">
        <v>421</v>
      </c>
      <c r="C31" s="424">
        <f>SUM(EMPREINTE!H249:I253)/1000</f>
        <v>0</v>
      </c>
    </row>
    <row r="32" spans="2:21" x14ac:dyDescent="0.2">
      <c r="B32" s="6" t="s">
        <v>422</v>
      </c>
      <c r="C32" s="424">
        <f>SUM(EMPREINTE!H257:I258)/1000</f>
        <v>0</v>
      </c>
    </row>
    <row r="33" spans="2:18" x14ac:dyDescent="0.2">
      <c r="B33" s="6" t="s">
        <v>423</v>
      </c>
      <c r="C33" s="424">
        <f>SUM(EMPREINTE!H261:I267)/1000</f>
        <v>0</v>
      </c>
    </row>
    <row r="34" spans="2:18" x14ac:dyDescent="0.2">
      <c r="B34" s="6" t="s">
        <v>424</v>
      </c>
      <c r="C34" s="424">
        <f>SUM(EMPREINTE!H270:I272)/1000</f>
        <v>0</v>
      </c>
    </row>
    <row r="35" spans="2:18" x14ac:dyDescent="0.2">
      <c r="B35" s="6" t="s">
        <v>425</v>
      </c>
      <c r="C35" s="424">
        <f>SUM(EMPREINTE!H276:I278)/1000</f>
        <v>0</v>
      </c>
    </row>
    <row r="36" spans="2:18" x14ac:dyDescent="0.2">
      <c r="B36" s="6" t="s">
        <v>426</v>
      </c>
      <c r="C36" s="424">
        <f>SUM(EMPREINTE!H281:I286)/1000</f>
        <v>0</v>
      </c>
    </row>
    <row r="37" spans="2:18" x14ac:dyDescent="0.2">
      <c r="B37" s="6" t="s">
        <v>427</v>
      </c>
      <c r="C37" s="424">
        <f>SUM(EMPREINTE!H289:I290)/1000</f>
        <v>0</v>
      </c>
    </row>
    <row r="38" spans="2:18" x14ac:dyDescent="0.2">
      <c r="B38" s="6" t="s">
        <v>428</v>
      </c>
      <c r="C38" s="424">
        <f>SUM(EMPREINTE!H293:I294)/1000</f>
        <v>0</v>
      </c>
    </row>
    <row r="39" spans="2:18" x14ac:dyDescent="0.2">
      <c r="B39" s="6" t="s">
        <v>429</v>
      </c>
      <c r="C39" s="424" t="e">
        <f>SUM(EMPREINTE!H302:I302)/1000</f>
        <v>#DIV/0!</v>
      </c>
    </row>
    <row r="40" spans="2:18" x14ac:dyDescent="0.2">
      <c r="B40" s="6" t="s">
        <v>430</v>
      </c>
      <c r="C40" s="424" t="e">
        <f>SUM(EMPREINTE!H306:I307)/1000</f>
        <v>#DIV/0!</v>
      </c>
    </row>
    <row r="41" spans="2:18" x14ac:dyDescent="0.2">
      <c r="B41" s="432" t="s">
        <v>408</v>
      </c>
      <c r="C41" s="424" t="e">
        <f>SUM(C26:C40)</f>
        <v>#DIV/0!</v>
      </c>
    </row>
    <row r="46" spans="2:18" x14ac:dyDescent="0.2">
      <c r="P46" s="433"/>
      <c r="Q46" s="718"/>
      <c r="R46" s="718"/>
    </row>
    <row r="51" spans="2:12" x14ac:dyDescent="0.2"/>
    <row r="52" spans="2:12" ht="16.5" customHeight="1" x14ac:dyDescent="0.2">
      <c r="B52" s="359" t="s">
        <v>349</v>
      </c>
      <c r="C52" s="424" t="s">
        <v>409</v>
      </c>
    </row>
    <row r="53" spans="2:12" x14ac:dyDescent="0.2">
      <c r="B53" s="6" t="s">
        <v>431</v>
      </c>
      <c r="C53" s="424" t="e">
        <f>SUM(EMPREINTE!H311:J315)/1000</f>
        <v>#DIV/0!</v>
      </c>
    </row>
    <row r="54" spans="2:12" x14ac:dyDescent="0.2">
      <c r="B54" s="6" t="s">
        <v>432</v>
      </c>
      <c r="C54" s="424" t="e">
        <f>SUM(EMPREINTE!H317:J321)/1000</f>
        <v>#DIV/0!</v>
      </c>
    </row>
    <row r="55" spans="2:12" x14ac:dyDescent="0.2">
      <c r="B55" s="6" t="s">
        <v>433</v>
      </c>
      <c r="C55" s="424" t="e">
        <f>SUM(EMPREINTE!H323:J327)/1000</f>
        <v>#DIV/0!</v>
      </c>
    </row>
    <row r="56" spans="2:12" x14ac:dyDescent="0.2">
      <c r="B56" s="6" t="s">
        <v>434</v>
      </c>
      <c r="C56" s="424" t="e">
        <f>SUM(EMPREINTE!H329:J333)/1000</f>
        <v>#DIV/0!</v>
      </c>
    </row>
    <row r="57" spans="2:12" ht="16.5" customHeight="1" x14ac:dyDescent="0.2">
      <c r="B57" s="393" t="s">
        <v>364</v>
      </c>
      <c r="C57" s="424" t="s">
        <v>409</v>
      </c>
    </row>
    <row r="58" spans="2:12" x14ac:dyDescent="0.2">
      <c r="B58" s="6" t="s">
        <v>435</v>
      </c>
      <c r="C58" s="424">
        <f>SUM(EMPREINTE!H337:J341)/1000</f>
        <v>0</v>
      </c>
      <c r="L58" s="438"/>
    </row>
    <row r="59" spans="2:12" x14ac:dyDescent="0.2">
      <c r="B59" s="6" t="s">
        <v>436</v>
      </c>
      <c r="C59" s="424">
        <f>SUM(EMPREINTE!H343:J345)/1000</f>
        <v>0</v>
      </c>
    </row>
    <row r="60" spans="2:12" x14ac:dyDescent="0.2">
      <c r="B60" s="6" t="s">
        <v>437</v>
      </c>
      <c r="C60" s="424">
        <f>SUM(EMPREINTE!H347:J349)/1000</f>
        <v>0</v>
      </c>
    </row>
    <row r="61" spans="2:12" x14ac:dyDescent="0.2">
      <c r="B61" s="6" t="s">
        <v>438</v>
      </c>
      <c r="C61" s="424">
        <f>SUM(EMPREINTE!H351:J353)/1000</f>
        <v>0</v>
      </c>
    </row>
    <row r="62" spans="2:12" x14ac:dyDescent="0.2">
      <c r="B62" s="432" t="s">
        <v>408</v>
      </c>
      <c r="C62" s="424" t="e">
        <f>SUM(C52:C61)</f>
        <v>#DIV/0!</v>
      </c>
    </row>
    <row r="71" spans="2:7" ht="16.5" customHeight="1" x14ac:dyDescent="0.2">
      <c r="B71" s="439" t="s">
        <v>439</v>
      </c>
      <c r="C71" s="6"/>
      <c r="D71" s="424"/>
      <c r="E71" s="432" t="s">
        <v>440</v>
      </c>
      <c r="F71" s="424" t="e">
        <f>IF(D102&gt;0,"",-C15/(C41+C62))</f>
        <v>#DIV/0!</v>
      </c>
      <c r="G71" s="6" t="s">
        <v>441</v>
      </c>
    </row>
    <row r="72" spans="2:7" x14ac:dyDescent="0.2">
      <c r="C72" s="6"/>
      <c r="D72" s="440">
        <v>0</v>
      </c>
      <c r="E72" s="432"/>
      <c r="F72" s="424"/>
    </row>
    <row r="73" spans="2:7" x14ac:dyDescent="0.2">
      <c r="B73" s="6">
        <f>PROJET!C15</f>
        <v>0</v>
      </c>
      <c r="C73" s="6">
        <f>B73</f>
        <v>0</v>
      </c>
      <c r="D73" s="440" t="e">
        <f>C15</f>
        <v>#DIV/0!</v>
      </c>
    </row>
    <row r="74" spans="2:7" x14ac:dyDescent="0.2">
      <c r="B74" s="6">
        <f t="shared" ref="B74:B102" si="0">B73+1</f>
        <v>1</v>
      </c>
      <c r="C74" s="6"/>
      <c r="D74" s="440" t="e">
        <f>D73+C41+C62</f>
        <v>#DIV/0!</v>
      </c>
    </row>
    <row r="75" spans="2:7" x14ac:dyDescent="0.2">
      <c r="B75" s="6">
        <f t="shared" si="0"/>
        <v>2</v>
      </c>
      <c r="C75" s="6" t="str">
        <f>IF(ROUND(B75/5,0)=B75/5,B75,IF(ROUND(B74/5,0)=B74/5,B75,""))</f>
        <v/>
      </c>
      <c r="D75" s="440" t="e">
        <f t="shared" ref="D75:D102" si="1">2*D74-D73</f>
        <v>#DIV/0!</v>
      </c>
    </row>
    <row r="76" spans="2:7" x14ac:dyDescent="0.2">
      <c r="B76" s="6">
        <f t="shared" si="0"/>
        <v>3</v>
      </c>
      <c r="C76" s="6" t="str">
        <f t="shared" ref="C76:C102" si="2">IF(ROUND(B76/5,0)=B76/5,B76,"")</f>
        <v/>
      </c>
      <c r="D76" s="440" t="e">
        <f t="shared" si="1"/>
        <v>#DIV/0!</v>
      </c>
    </row>
    <row r="77" spans="2:7" x14ac:dyDescent="0.2">
      <c r="B77" s="6">
        <f t="shared" si="0"/>
        <v>4</v>
      </c>
      <c r="C77" s="6" t="str">
        <f t="shared" si="2"/>
        <v/>
      </c>
      <c r="D77" s="440" t="e">
        <f t="shared" si="1"/>
        <v>#DIV/0!</v>
      </c>
    </row>
    <row r="78" spans="2:7" x14ac:dyDescent="0.2">
      <c r="B78" s="6">
        <f t="shared" si="0"/>
        <v>5</v>
      </c>
      <c r="C78" s="6">
        <f t="shared" si="2"/>
        <v>5</v>
      </c>
      <c r="D78" s="440" t="e">
        <f t="shared" si="1"/>
        <v>#DIV/0!</v>
      </c>
    </row>
    <row r="79" spans="2:7" x14ac:dyDescent="0.2">
      <c r="B79" s="6">
        <f t="shared" si="0"/>
        <v>6</v>
      </c>
      <c r="C79" s="6" t="str">
        <f t="shared" si="2"/>
        <v/>
      </c>
      <c r="D79" s="440" t="e">
        <f t="shared" si="1"/>
        <v>#DIV/0!</v>
      </c>
    </row>
    <row r="80" spans="2:7" x14ac:dyDescent="0.2">
      <c r="B80" s="6">
        <f t="shared" si="0"/>
        <v>7</v>
      </c>
      <c r="C80" s="6" t="str">
        <f t="shared" si="2"/>
        <v/>
      </c>
      <c r="D80" s="440" t="e">
        <f t="shared" si="1"/>
        <v>#DIV/0!</v>
      </c>
    </row>
    <row r="81" spans="2:4" x14ac:dyDescent="0.2">
      <c r="B81" s="6">
        <f t="shared" si="0"/>
        <v>8</v>
      </c>
      <c r="C81" s="6" t="str">
        <f t="shared" si="2"/>
        <v/>
      </c>
      <c r="D81" s="440" t="e">
        <f t="shared" si="1"/>
        <v>#DIV/0!</v>
      </c>
    </row>
    <row r="82" spans="2:4" x14ac:dyDescent="0.2">
      <c r="B82" s="6">
        <f t="shared" si="0"/>
        <v>9</v>
      </c>
      <c r="C82" s="6" t="str">
        <f t="shared" si="2"/>
        <v/>
      </c>
      <c r="D82" s="440" t="e">
        <f t="shared" si="1"/>
        <v>#DIV/0!</v>
      </c>
    </row>
    <row r="83" spans="2:4" x14ac:dyDescent="0.2">
      <c r="B83" s="6">
        <f t="shared" si="0"/>
        <v>10</v>
      </c>
      <c r="C83" s="6">
        <f t="shared" si="2"/>
        <v>10</v>
      </c>
      <c r="D83" s="440" t="e">
        <f t="shared" si="1"/>
        <v>#DIV/0!</v>
      </c>
    </row>
    <row r="84" spans="2:4" x14ac:dyDescent="0.2">
      <c r="B84" s="6">
        <f t="shared" si="0"/>
        <v>11</v>
      </c>
      <c r="C84" s="6" t="str">
        <f t="shared" si="2"/>
        <v/>
      </c>
      <c r="D84" s="440" t="e">
        <f t="shared" si="1"/>
        <v>#DIV/0!</v>
      </c>
    </row>
    <row r="85" spans="2:4" x14ac:dyDescent="0.2">
      <c r="B85" s="6">
        <f t="shared" si="0"/>
        <v>12</v>
      </c>
      <c r="C85" s="6" t="str">
        <f t="shared" si="2"/>
        <v/>
      </c>
      <c r="D85" s="440" t="e">
        <f t="shared" si="1"/>
        <v>#DIV/0!</v>
      </c>
    </row>
    <row r="86" spans="2:4" x14ac:dyDescent="0.2">
      <c r="B86" s="6">
        <f t="shared" si="0"/>
        <v>13</v>
      </c>
      <c r="C86" s="6" t="str">
        <f t="shared" si="2"/>
        <v/>
      </c>
      <c r="D86" s="440" t="e">
        <f t="shared" si="1"/>
        <v>#DIV/0!</v>
      </c>
    </row>
    <row r="87" spans="2:4" x14ac:dyDescent="0.2">
      <c r="B87" s="6">
        <f t="shared" si="0"/>
        <v>14</v>
      </c>
      <c r="C87" s="6" t="str">
        <f t="shared" si="2"/>
        <v/>
      </c>
      <c r="D87" s="440" t="e">
        <f t="shared" si="1"/>
        <v>#DIV/0!</v>
      </c>
    </row>
    <row r="88" spans="2:4" x14ac:dyDescent="0.2">
      <c r="B88" s="6">
        <f t="shared" si="0"/>
        <v>15</v>
      </c>
      <c r="C88" s="6">
        <f t="shared" si="2"/>
        <v>15</v>
      </c>
      <c r="D88" s="440" t="e">
        <f t="shared" si="1"/>
        <v>#DIV/0!</v>
      </c>
    </row>
    <row r="89" spans="2:4" x14ac:dyDescent="0.2">
      <c r="B89" s="6">
        <f t="shared" si="0"/>
        <v>16</v>
      </c>
      <c r="C89" s="6" t="str">
        <f t="shared" si="2"/>
        <v/>
      </c>
      <c r="D89" s="440" t="e">
        <f t="shared" si="1"/>
        <v>#DIV/0!</v>
      </c>
    </row>
    <row r="90" spans="2:4" x14ac:dyDescent="0.2">
      <c r="B90" s="6">
        <f t="shared" si="0"/>
        <v>17</v>
      </c>
      <c r="C90" s="6" t="str">
        <f t="shared" si="2"/>
        <v/>
      </c>
      <c r="D90" s="440" t="e">
        <f t="shared" si="1"/>
        <v>#DIV/0!</v>
      </c>
    </row>
    <row r="91" spans="2:4" x14ac:dyDescent="0.2">
      <c r="B91" s="6">
        <f t="shared" si="0"/>
        <v>18</v>
      </c>
      <c r="C91" s="6" t="str">
        <f t="shared" si="2"/>
        <v/>
      </c>
      <c r="D91" s="440" t="e">
        <f t="shared" si="1"/>
        <v>#DIV/0!</v>
      </c>
    </row>
    <row r="92" spans="2:4" x14ac:dyDescent="0.2">
      <c r="B92" s="6">
        <f t="shared" si="0"/>
        <v>19</v>
      </c>
      <c r="C92" s="6" t="str">
        <f t="shared" si="2"/>
        <v/>
      </c>
      <c r="D92" s="440" t="e">
        <f t="shared" si="1"/>
        <v>#DIV/0!</v>
      </c>
    </row>
    <row r="93" spans="2:4" x14ac:dyDescent="0.2">
      <c r="B93" s="6">
        <f t="shared" si="0"/>
        <v>20</v>
      </c>
      <c r="C93" s="6">
        <f t="shared" si="2"/>
        <v>20</v>
      </c>
      <c r="D93" s="440" t="e">
        <f t="shared" si="1"/>
        <v>#DIV/0!</v>
      </c>
    </row>
    <row r="94" spans="2:4" x14ac:dyDescent="0.2">
      <c r="B94" s="6">
        <f t="shared" si="0"/>
        <v>21</v>
      </c>
      <c r="C94" s="6" t="str">
        <f t="shared" si="2"/>
        <v/>
      </c>
      <c r="D94" s="440" t="e">
        <f t="shared" si="1"/>
        <v>#DIV/0!</v>
      </c>
    </row>
    <row r="95" spans="2:4" x14ac:dyDescent="0.2">
      <c r="B95" s="6">
        <f t="shared" si="0"/>
        <v>22</v>
      </c>
      <c r="C95" s="6" t="str">
        <f t="shared" si="2"/>
        <v/>
      </c>
      <c r="D95" s="440" t="e">
        <f t="shared" si="1"/>
        <v>#DIV/0!</v>
      </c>
    </row>
    <row r="96" spans="2:4" x14ac:dyDescent="0.2">
      <c r="B96" s="6">
        <f t="shared" si="0"/>
        <v>23</v>
      </c>
      <c r="C96" s="6" t="str">
        <f t="shared" si="2"/>
        <v/>
      </c>
      <c r="D96" s="440" t="e">
        <f t="shared" si="1"/>
        <v>#DIV/0!</v>
      </c>
    </row>
    <row r="97" spans="2:4" x14ac:dyDescent="0.2">
      <c r="B97" s="6">
        <f t="shared" si="0"/>
        <v>24</v>
      </c>
      <c r="C97" s="6" t="str">
        <f t="shared" si="2"/>
        <v/>
      </c>
      <c r="D97" s="440" t="e">
        <f t="shared" si="1"/>
        <v>#DIV/0!</v>
      </c>
    </row>
    <row r="98" spans="2:4" x14ac:dyDescent="0.2">
      <c r="B98" s="6">
        <f t="shared" si="0"/>
        <v>25</v>
      </c>
      <c r="C98" s="6">
        <f t="shared" si="2"/>
        <v>25</v>
      </c>
      <c r="D98" s="440" t="e">
        <f t="shared" si="1"/>
        <v>#DIV/0!</v>
      </c>
    </row>
    <row r="99" spans="2:4" x14ac:dyDescent="0.2">
      <c r="B99" s="6">
        <f t="shared" si="0"/>
        <v>26</v>
      </c>
      <c r="C99" s="6" t="str">
        <f t="shared" si="2"/>
        <v/>
      </c>
      <c r="D99" s="440" t="e">
        <f t="shared" si="1"/>
        <v>#DIV/0!</v>
      </c>
    </row>
    <row r="100" spans="2:4" x14ac:dyDescent="0.2">
      <c r="B100" s="6">
        <f t="shared" si="0"/>
        <v>27</v>
      </c>
      <c r="C100" s="6" t="str">
        <f t="shared" si="2"/>
        <v/>
      </c>
      <c r="D100" s="440" t="e">
        <f t="shared" si="1"/>
        <v>#DIV/0!</v>
      </c>
    </row>
    <row r="101" spans="2:4" x14ac:dyDescent="0.2">
      <c r="B101" s="6">
        <f t="shared" si="0"/>
        <v>28</v>
      </c>
      <c r="C101" s="6" t="str">
        <f t="shared" si="2"/>
        <v/>
      </c>
      <c r="D101" s="440" t="e">
        <f t="shared" si="1"/>
        <v>#DIV/0!</v>
      </c>
    </row>
    <row r="102" spans="2:4" x14ac:dyDescent="0.2">
      <c r="B102" s="6">
        <f t="shared" si="0"/>
        <v>29</v>
      </c>
      <c r="C102" s="6" t="str">
        <f t="shared" si="2"/>
        <v/>
      </c>
      <c r="D102" s="440" t="e">
        <f t="shared" si="1"/>
        <v>#DIV/0!</v>
      </c>
    </row>
  </sheetData>
  <sheetProtection sheet="1" objects="1" scenarios="1" selectLockedCells="1"/>
  <mergeCells count="18">
    <mergeCell ref="Q46:R46"/>
    <mergeCell ref="L1:M1"/>
    <mergeCell ref="N1:O1"/>
    <mergeCell ref="P1:Q1"/>
    <mergeCell ref="R1:S1"/>
    <mergeCell ref="L29:M29"/>
    <mergeCell ref="N29:O29"/>
    <mergeCell ref="N30:O30"/>
    <mergeCell ref="P29:Q29"/>
    <mergeCell ref="P30:Q30"/>
    <mergeCell ref="R29:S29"/>
    <mergeCell ref="R30:S30"/>
    <mergeCell ref="L27:S27"/>
    <mergeCell ref="C2:D2"/>
    <mergeCell ref="F2:G2"/>
    <mergeCell ref="F3:G4"/>
    <mergeCell ref="F5:G5"/>
    <mergeCell ref="L30:M30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M101"/>
  <sheetViews>
    <sheetView showGridLines="0" zoomScale="85" zoomScaleNormal="85" workbookViewId="0">
      <pane ySplit="5" topLeftCell="A6" activePane="bottomLeft" state="frozen"/>
      <selection pane="bottomLeft" activeCell="C2" sqref="C2:E2"/>
    </sheetView>
  </sheetViews>
  <sheetFormatPr baseColWidth="10" defaultColWidth="10.7109375" defaultRowHeight="12.75" customHeight="1" x14ac:dyDescent="0.2"/>
  <cols>
    <col min="1" max="1" width="16.42578125" style="6" customWidth="1"/>
    <col min="2" max="2" width="25.5703125" style="6" customWidth="1"/>
    <col min="3" max="3" width="15.28515625" style="424" customWidth="1"/>
    <col min="4" max="6" width="15.28515625" style="6" customWidth="1"/>
    <col min="7" max="7" width="15.28515625" style="113" customWidth="1"/>
    <col min="8" max="8" width="10.7109375" style="113"/>
    <col min="9" max="9" width="12.7109375" style="113" customWidth="1"/>
    <col min="10" max="11" width="13.5703125" style="113" customWidth="1"/>
    <col min="12" max="12" width="13.85546875" style="113" customWidth="1"/>
    <col min="13" max="16384" width="10.7109375" style="113"/>
  </cols>
  <sheetData>
    <row r="1" spans="1:65" s="6" customFormat="1" ht="27.75" customHeight="1" x14ac:dyDescent="0.2">
      <c r="B1" s="114"/>
      <c r="C1" s="128" t="s">
        <v>393</v>
      </c>
      <c r="D1" s="18"/>
      <c r="E1" s="425"/>
      <c r="F1" s="19"/>
      <c r="G1" s="127" t="s">
        <v>442</v>
      </c>
      <c r="H1" s="123" t="s">
        <v>4</v>
      </c>
      <c r="I1" s="441" t="s">
        <v>74</v>
      </c>
      <c r="J1" s="441" t="s">
        <v>443</v>
      </c>
      <c r="K1" s="441" t="s">
        <v>444</v>
      </c>
      <c r="L1" s="441" t="s">
        <v>445</v>
      </c>
      <c r="M1" s="724" t="s">
        <v>446</v>
      </c>
      <c r="N1" s="724"/>
      <c r="O1" s="724"/>
      <c r="P1" s="19"/>
      <c r="Q1" s="19"/>
      <c r="R1" s="19"/>
      <c r="S1" s="19"/>
      <c r="T1" s="18"/>
      <c r="U1" s="18"/>
      <c r="V1" s="18"/>
      <c r="W1" s="18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  <c r="BM1" s="109"/>
    </row>
    <row r="2" spans="1:65" s="6" customFormat="1" ht="19.5" customHeight="1" x14ac:dyDescent="0.2">
      <c r="B2" s="127"/>
      <c r="C2" s="713" t="str">
        <f>PROJET!C4</f>
        <v>PROJET</v>
      </c>
      <c r="D2" s="713"/>
      <c r="E2" s="713"/>
      <c r="F2" s="714" t="s">
        <v>79</v>
      </c>
      <c r="G2" s="714"/>
      <c r="H2" s="123" t="str">
        <f>PROJET!C37</f>
        <v>surface non renseignée</v>
      </c>
      <c r="I2" s="123">
        <f>EMPREINTE!$G2</f>
        <v>0</v>
      </c>
      <c r="J2" s="123" t="e">
        <f ca="1">INDIRECT(CONCATENATE("'",J$1,"'","!$I2"))</f>
        <v>#REF!</v>
      </c>
      <c r="K2" s="123" t="e">
        <f ca="1">INDIRECT(CONCATENATE("'",K$1,"'","!$I2"))</f>
        <v>#REF!</v>
      </c>
      <c r="L2" s="123" t="e">
        <f ca="1">INDIRECT(CONCATENATE("'",L$1,"'","!$I2"))</f>
        <v>#REF!</v>
      </c>
      <c r="M2" s="120" t="str">
        <f>EMPREINTE!H2</f>
        <v>kg CO2e / m²</v>
      </c>
      <c r="N2" s="442"/>
      <c r="O2" s="19"/>
      <c r="P2" s="19"/>
      <c r="Q2" s="19"/>
      <c r="R2" s="19"/>
      <c r="S2" s="19"/>
      <c r="T2" s="18"/>
      <c r="U2" s="18"/>
      <c r="V2" s="18"/>
      <c r="W2" s="18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  <c r="BM2" s="109"/>
    </row>
    <row r="3" spans="1:65" s="6" customFormat="1" ht="13.5" customHeight="1" x14ac:dyDescent="0.2">
      <c r="B3" s="127"/>
      <c r="C3" s="127"/>
      <c r="D3" s="127"/>
      <c r="E3" s="19"/>
      <c r="F3" s="715" t="s">
        <v>83</v>
      </c>
      <c r="G3" s="715"/>
      <c r="H3" s="123" t="str">
        <f>PROJET!C42</f>
        <v>surface non renseignée</v>
      </c>
      <c r="I3" s="123">
        <f>EMPREINTE!$G3</f>
        <v>0</v>
      </c>
      <c r="J3" s="123" t="e">
        <f ca="1">INDIRECT(CONCATENATE("'",J$1,"'","!$I3"))</f>
        <v>#REF!</v>
      </c>
      <c r="K3" s="123" t="e">
        <f ca="1">INDIRECT(CONCATENATE("'",K$1,"'","!$I3"))</f>
        <v>#REF!</v>
      </c>
      <c r="L3" s="123" t="e">
        <f ca="1">INDIRECT(CONCATENATE("'",L$1,"'","!$I3"))</f>
        <v>#REF!</v>
      </c>
      <c r="M3" s="120" t="str">
        <f>EMPREINTE!H3</f>
        <v>kWh / m².an</v>
      </c>
      <c r="N3" s="442"/>
      <c r="O3" s="19"/>
      <c r="P3" s="19"/>
      <c r="Q3" s="19"/>
      <c r="R3" s="19"/>
      <c r="S3" s="19"/>
      <c r="T3" s="18"/>
      <c r="U3" s="18"/>
      <c r="V3" s="18"/>
      <c r="W3" s="18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109"/>
    </row>
    <row r="4" spans="1:65" s="6" customFormat="1" ht="13.5" customHeight="1" x14ac:dyDescent="0.2">
      <c r="B4" s="127"/>
      <c r="C4" s="127"/>
      <c r="D4" s="127"/>
      <c r="E4" s="19"/>
      <c r="F4" s="715"/>
      <c r="G4" s="715"/>
      <c r="H4" s="123" t="str">
        <f>PROJET!C43</f>
        <v>surface non renseignée</v>
      </c>
      <c r="I4" s="123">
        <f>EMPREINTE!$G4</f>
        <v>0</v>
      </c>
      <c r="J4" s="123" t="e">
        <f ca="1">INDIRECT(CONCATENATE("'",J$1,"'","!$I4"))</f>
        <v>#REF!</v>
      </c>
      <c r="K4" s="123" t="e">
        <f ca="1">INDIRECT(CONCATENATE("'",K$1,"'","!$I4"))</f>
        <v>#REF!</v>
      </c>
      <c r="L4" s="123" t="e">
        <f ca="1">INDIRECT(CONCATENATE("'",L$1,"'","!$I4"))</f>
        <v>#REF!</v>
      </c>
      <c r="M4" s="120" t="str">
        <f>EMPREINTE!H4</f>
        <v>kg CO2e / m².an</v>
      </c>
      <c r="N4" s="442"/>
      <c r="O4" s="19"/>
      <c r="P4" s="19"/>
      <c r="Q4" s="19"/>
      <c r="R4" s="19"/>
      <c r="S4" s="19"/>
      <c r="T4" s="18"/>
      <c r="U4" s="18"/>
      <c r="V4" s="18"/>
      <c r="W4" s="18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</row>
    <row r="5" spans="1:65" s="6" customFormat="1" ht="27.75" customHeight="1" x14ac:dyDescent="0.2">
      <c r="B5" s="57"/>
      <c r="C5" s="57"/>
      <c r="D5" s="44"/>
      <c r="E5" s="44"/>
      <c r="F5" s="716" t="s">
        <v>87</v>
      </c>
      <c r="G5" s="716"/>
      <c r="H5" s="426">
        <f>EMPREINTE!$F5</f>
        <v>0</v>
      </c>
      <c r="I5" s="426">
        <f>EMPREINTE!$G5</f>
        <v>0</v>
      </c>
      <c r="J5" s="426" t="e">
        <f ca="1">INDIRECT(CONCATENATE("'",J$1,"'","!$I5"))</f>
        <v>#REF!</v>
      </c>
      <c r="K5" s="426" t="e">
        <f ca="1">INDIRECT(CONCATENATE("'",K$1,"'","!$I5"))</f>
        <v>#REF!</v>
      </c>
      <c r="L5" s="426" t="e">
        <f ca="1">INDIRECT(CONCATENATE("'",L$1,"'","!$I5"))</f>
        <v>#REF!</v>
      </c>
      <c r="M5" s="120" t="str">
        <f>EMPREINTE!H5</f>
        <v>points TEC-Tec / 100</v>
      </c>
      <c r="N5" s="427"/>
      <c r="O5" s="45"/>
      <c r="P5" s="45"/>
      <c r="Q5" s="45"/>
      <c r="R5" s="45"/>
      <c r="S5" s="45"/>
      <c r="T5" s="443"/>
      <c r="U5" s="443"/>
      <c r="V5" s="443"/>
      <c r="W5" s="443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  <c r="BM5" s="139"/>
    </row>
    <row r="6" spans="1:65" s="445" customFormat="1" ht="27.75" customHeight="1" x14ac:dyDescent="0.2">
      <c r="A6" s="97"/>
      <c r="B6" s="28"/>
      <c r="C6" s="444"/>
      <c r="D6" s="723" t="s">
        <v>447</v>
      </c>
      <c r="E6" s="723"/>
      <c r="F6" s="723"/>
      <c r="G6" s="142"/>
      <c r="H6" s="144"/>
      <c r="I6" s="144"/>
      <c r="J6" s="144"/>
      <c r="K6" s="141"/>
      <c r="L6" s="428"/>
      <c r="M6" s="179"/>
      <c r="N6" s="429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141"/>
      <c r="BD6" s="141"/>
      <c r="BE6" s="141"/>
      <c r="BF6" s="141"/>
      <c r="BG6" s="141"/>
      <c r="BH6" s="141"/>
      <c r="BI6" s="141"/>
      <c r="BJ6" s="141"/>
      <c r="BK6" s="141"/>
      <c r="BL6" s="141"/>
      <c r="BM6" s="141"/>
    </row>
    <row r="7" spans="1:65" s="445" customFormat="1" ht="27.75" customHeight="1" x14ac:dyDescent="0.2">
      <c r="A7" s="97"/>
      <c r="B7" s="430" t="s">
        <v>129</v>
      </c>
      <c r="C7" s="446" t="str">
        <f>I$1</f>
        <v>EMPREINTE</v>
      </c>
      <c r="D7" s="446" t="str">
        <f>J$1</f>
        <v>EMPREINTE (2)</v>
      </c>
      <c r="E7" s="446" t="str">
        <f>K$1</f>
        <v>EMPREINTE (3)</v>
      </c>
      <c r="F7" s="446" t="str">
        <f>L$1</f>
        <v>EMPREINTE (4)</v>
      </c>
    </row>
    <row r="8" spans="1:65" x14ac:dyDescent="0.2">
      <c r="B8" s="6" t="s">
        <v>401</v>
      </c>
      <c r="C8" s="431" t="e">
        <f>SUM(EMPREINTE!$H36:$J41)/1000</f>
        <v>#DIV/0!</v>
      </c>
      <c r="D8" s="431" t="e">
        <f ca="1">SUM(INDIRECT(CONCATENATE("'",J$1,"'","!$H36:$J41")))/1000</f>
        <v>#REF!</v>
      </c>
      <c r="E8" s="431" t="e">
        <f ca="1">SUM(INDIRECT(CONCATENATE("'",K$1,"'","!$H36:$J41")))/1000</f>
        <v>#REF!</v>
      </c>
      <c r="F8" s="431" t="e">
        <f ca="1">SUM(INDIRECT(CONCATENATE("'",L$1,"'","!$H36:$J41")))/1000</f>
        <v>#REF!</v>
      </c>
    </row>
    <row r="9" spans="1:65" x14ac:dyDescent="0.2">
      <c r="B9" s="6" t="s">
        <v>402</v>
      </c>
      <c r="C9" s="431" t="e">
        <f>SUM(EMPREINTE!$H44:$J49)/1000</f>
        <v>#DIV/0!</v>
      </c>
      <c r="D9" s="431" t="e">
        <f ca="1">SUM(INDIRECT(CONCATENATE("'",J$1,"'","!$H44:$J49")))/1000</f>
        <v>#REF!</v>
      </c>
      <c r="E9" s="431" t="e">
        <f ca="1">SUM(INDIRECT(CONCATENATE("'",K$1,"'","!$H44:$J49")))/1000</f>
        <v>#REF!</v>
      </c>
      <c r="F9" s="431" t="e">
        <f ca="1">SUM(INDIRECT(CONCATENATE("'",L$1,"'","!$H44:$J49")))/1000</f>
        <v>#REF!</v>
      </c>
    </row>
    <row r="10" spans="1:65" x14ac:dyDescent="0.2">
      <c r="B10" s="6" t="s">
        <v>403</v>
      </c>
      <c r="C10" s="431" t="e">
        <f>SUM(EMPREINTE!$H52:$J73)/1000</f>
        <v>#DIV/0!</v>
      </c>
      <c r="D10" s="431" t="e">
        <f ca="1">SUM(INDIRECT(CONCATENATE("'",J$1,"'","!$H52:$J73")))/1000</f>
        <v>#REF!</v>
      </c>
      <c r="E10" s="431" t="e">
        <f ca="1">SUM(INDIRECT(CONCATENATE("'",K$1,"'","!$H52:$J73")))/1000</f>
        <v>#REF!</v>
      </c>
      <c r="F10" s="431" t="e">
        <f ca="1">SUM(INDIRECT(CONCATENATE("'",L$1,"'","!$H52:$J73")))/1000</f>
        <v>#REF!</v>
      </c>
    </row>
    <row r="11" spans="1:65" x14ac:dyDescent="0.2">
      <c r="B11" s="6" t="s">
        <v>404</v>
      </c>
      <c r="C11" s="431" t="e">
        <f>SUM(EMPREINTE!$H76:$J96)/1000</f>
        <v>#DIV/0!</v>
      </c>
      <c r="D11" s="431" t="e">
        <f ca="1">SUM(INDIRECT(CONCATENATE("'",J$1,"'","!$H76:$J96")))/1000</f>
        <v>#REF!</v>
      </c>
      <c r="E11" s="431" t="e">
        <f ca="1">SUM(INDIRECT(CONCATENATE("'",K$1,"'","!$H76:$J96")))/1000</f>
        <v>#REF!</v>
      </c>
      <c r="F11" s="431" t="e">
        <f ca="1">SUM(INDIRECT(CONCATENATE("'",L$1,"'","!$H76:$J96")))/1000</f>
        <v>#REF!</v>
      </c>
    </row>
    <row r="12" spans="1:65" x14ac:dyDescent="0.2">
      <c r="B12" s="6" t="s">
        <v>405</v>
      </c>
      <c r="C12" s="431">
        <f>SUM(EMPREINTE!$H99:$J127)/1000</f>
        <v>0</v>
      </c>
      <c r="D12" s="431" t="e">
        <f ca="1">SUM(INDIRECT(CONCATENATE("'",J$1,"'","!$H99:$J127")))/1000</f>
        <v>#REF!</v>
      </c>
      <c r="E12" s="431" t="e">
        <f ca="1">SUM(INDIRECT(CONCATENATE("'",K$1,"'","!$H99:$J127")))/1000</f>
        <v>#REF!</v>
      </c>
      <c r="F12" s="431" t="e">
        <f ca="1">SUM(INDIRECT(CONCATENATE("'",L$1,"'","!$H99:$J127")))/1000</f>
        <v>#REF!</v>
      </c>
    </row>
    <row r="13" spans="1:65" x14ac:dyDescent="0.2">
      <c r="B13" s="6" t="s">
        <v>406</v>
      </c>
      <c r="C13" s="431">
        <f>SUM(EMPREINTE!$H130:$J149)/1000</f>
        <v>0</v>
      </c>
      <c r="D13" s="431" t="e">
        <f ca="1">SUM(INDIRECT(CONCATENATE("'",J$1,"'","!$H130:$J149")))/1000</f>
        <v>#REF!</v>
      </c>
      <c r="E13" s="431" t="e">
        <f ca="1">SUM(INDIRECT(CONCATENATE("'",K$1,"'","!$H130:$J149")))/1000</f>
        <v>#REF!</v>
      </c>
      <c r="F13" s="431" t="e">
        <f ca="1">SUM(INDIRECT(CONCATENATE("'",L$1,"'","!$H130:$J149")))/1000</f>
        <v>#REF!</v>
      </c>
    </row>
    <row r="14" spans="1:65" x14ac:dyDescent="0.2">
      <c r="B14" s="6" t="s">
        <v>407</v>
      </c>
      <c r="C14" s="431">
        <f>SUM(EMPREINTE!$H152:$J169)/1000</f>
        <v>0</v>
      </c>
      <c r="D14" s="431" t="e">
        <f ca="1">SUM(INDIRECT(CONCATENATE("'",J$1,"'","!$H152:$J169")))/1000</f>
        <v>#REF!</v>
      </c>
      <c r="E14" s="431" t="e">
        <f ca="1">SUM(INDIRECT(CONCATENATE("'",K$1,"'","!$H152:$J169")))/1000</f>
        <v>#REF!</v>
      </c>
      <c r="F14" s="431" t="e">
        <f ca="1">SUM(INDIRECT(CONCATENATE("'",L$1,"'","!$H152:$J169")))/1000</f>
        <v>#REF!</v>
      </c>
    </row>
    <row r="15" spans="1:65" x14ac:dyDescent="0.2">
      <c r="B15" s="432" t="s">
        <v>408</v>
      </c>
      <c r="C15" s="431" t="e">
        <f>SUM(C8:C14)</f>
        <v>#DIV/0!</v>
      </c>
      <c r="D15" s="431" t="e">
        <f ca="1">SUM(D8:D14)</f>
        <v>#REF!</v>
      </c>
      <c r="E15" s="431" t="e">
        <f ca="1">SUM(E8:E14)</f>
        <v>#REF!</v>
      </c>
      <c r="F15" s="431" t="e">
        <f ca="1">SUM(F8:F14)</f>
        <v>#REF!</v>
      </c>
    </row>
    <row r="16" spans="1:65" x14ac:dyDescent="0.2">
      <c r="C16" s="431" t="s">
        <v>400</v>
      </c>
      <c r="D16" s="431" t="s">
        <v>400</v>
      </c>
      <c r="E16" s="431" t="s">
        <v>400</v>
      </c>
      <c r="F16" s="431" t="s">
        <v>400</v>
      </c>
    </row>
    <row r="17" spans="1:6" x14ac:dyDescent="0.2">
      <c r="C17" s="431"/>
      <c r="D17" s="431"/>
      <c r="E17" s="431"/>
      <c r="F17" s="431"/>
    </row>
    <row r="18" spans="1:6" x14ac:dyDescent="0.2">
      <c r="C18" s="431"/>
      <c r="D18" s="431"/>
      <c r="E18" s="431"/>
      <c r="F18" s="431"/>
    </row>
    <row r="19" spans="1:6" x14ac:dyDescent="0.2">
      <c r="C19" s="431"/>
      <c r="D19" s="431"/>
      <c r="E19" s="431"/>
      <c r="F19" s="431"/>
    </row>
    <row r="20" spans="1:6" x14ac:dyDescent="0.2">
      <c r="C20" s="431"/>
      <c r="D20" s="431"/>
      <c r="E20" s="431"/>
      <c r="F20" s="431"/>
    </row>
    <row r="21" spans="1:6" x14ac:dyDescent="0.2">
      <c r="C21" s="431"/>
      <c r="D21" s="431"/>
      <c r="E21" s="431"/>
      <c r="F21" s="431"/>
    </row>
    <row r="22" spans="1:6" x14ac:dyDescent="0.2">
      <c r="C22" s="431"/>
      <c r="D22" s="431"/>
      <c r="E22" s="431"/>
      <c r="F22" s="431"/>
    </row>
    <row r="23" spans="1:6" x14ac:dyDescent="0.2">
      <c r="C23" s="431"/>
      <c r="D23" s="431"/>
      <c r="E23" s="431"/>
      <c r="F23" s="431"/>
    </row>
    <row r="24" spans="1:6" x14ac:dyDescent="0.2">
      <c r="C24" s="431"/>
      <c r="D24" s="431"/>
      <c r="E24" s="431"/>
      <c r="F24" s="431"/>
    </row>
    <row r="25" spans="1:6" s="445" customFormat="1" ht="27.75" customHeight="1" x14ac:dyDescent="0.2">
      <c r="A25" s="97"/>
      <c r="B25" s="270" t="s">
        <v>244</v>
      </c>
      <c r="C25" s="446" t="str">
        <f>I$1</f>
        <v>EMPREINTE</v>
      </c>
      <c r="D25" s="446" t="str">
        <f>J$1</f>
        <v>EMPREINTE (2)</v>
      </c>
      <c r="E25" s="446" t="str">
        <f>K$1</f>
        <v>EMPREINTE (3)</v>
      </c>
      <c r="F25" s="446" t="str">
        <f>L$1</f>
        <v>EMPREINTE (4)</v>
      </c>
    </row>
    <row r="26" spans="1:6" x14ac:dyDescent="0.2">
      <c r="B26" s="6" t="s">
        <v>410</v>
      </c>
      <c r="C26" s="424">
        <f>SUM(EMPREINTE!$H174:$I180)/1000</f>
        <v>0</v>
      </c>
      <c r="D26" s="424" t="e">
        <f ca="1">SUM(INDIRECT(CONCATENATE("'",J$1,"'","!$H174:$I180")))/1000</f>
        <v>#REF!</v>
      </c>
      <c r="E26" s="424" t="e">
        <f ca="1">SUM(INDIRECT(CONCATENATE("'",K$1,"'","!$H174:$I180")))/1000</f>
        <v>#REF!</v>
      </c>
      <c r="F26" s="424" t="e">
        <f ca="1">SUM(INDIRECT(CONCATENATE("'",L$1,"'","!$H174:$I180")))/1000</f>
        <v>#REF!</v>
      </c>
    </row>
    <row r="27" spans="1:6" x14ac:dyDescent="0.2">
      <c r="B27" s="6" t="s">
        <v>411</v>
      </c>
      <c r="C27" s="424">
        <f>SUM(EMPREINTE!$H184:$I196)/1000</f>
        <v>0</v>
      </c>
      <c r="D27" s="424" t="e">
        <f ca="1">SUM(INDIRECT(CONCATENATE("'",J$1,"'","!$H184:$I196")))/1000</f>
        <v>#REF!</v>
      </c>
      <c r="E27" s="424" t="e">
        <f ca="1">SUM(INDIRECT(CONCATENATE("'",K$1,"'","!$H184:$I196")))/1000</f>
        <v>#REF!</v>
      </c>
      <c r="F27" s="424" t="e">
        <f ca="1">SUM(INDIRECT(CONCATENATE("'",L$1,"'","!$H184:$I196")))/1000</f>
        <v>#REF!</v>
      </c>
    </row>
    <row r="28" spans="1:6" x14ac:dyDescent="0.2">
      <c r="B28" s="6" t="s">
        <v>414</v>
      </c>
      <c r="C28" s="424">
        <f>SUM(EMPREINTE!$H201:$I222)/1000</f>
        <v>0</v>
      </c>
      <c r="D28" s="424" t="e">
        <f ca="1">SUM(INDIRECT(CONCATENATE("'",J$1,"'","!$H201:$I222")))/1000</f>
        <v>#REF!</v>
      </c>
      <c r="E28" s="424" t="e">
        <f ca="1">SUM(INDIRECT(CONCATENATE("'",K$1,"'","!$H201:$I222")))/1000</f>
        <v>#REF!</v>
      </c>
      <c r="F28" s="424" t="e">
        <f ca="1">SUM(INDIRECT(CONCATENATE("'",L$1,"'","!$H201:$I222")))/1000</f>
        <v>#REF!</v>
      </c>
    </row>
    <row r="29" spans="1:6" x14ac:dyDescent="0.2">
      <c r="B29" s="6" t="s">
        <v>415</v>
      </c>
      <c r="C29" s="424">
        <f>SUM(EMPREINTE!$H227:$I236)/1000</f>
        <v>0</v>
      </c>
      <c r="D29" s="424" t="e">
        <f ca="1">SUM(INDIRECT(CONCATENATE("'",J$1,"'","!$H227:$I236")))/1000</f>
        <v>#REF!</v>
      </c>
      <c r="E29" s="424" t="e">
        <f ca="1">SUM(INDIRECT(CONCATENATE("'",K$1,"'","!$H227:$I236")))/1000</f>
        <v>#REF!</v>
      </c>
      <c r="F29" s="424" t="e">
        <f ca="1">SUM(INDIRECT(CONCATENATE("'",L$1,"'","!$H227:$I236")))/1000</f>
        <v>#REF!</v>
      </c>
    </row>
    <row r="30" spans="1:6" x14ac:dyDescent="0.2">
      <c r="B30" s="6" t="s">
        <v>420</v>
      </c>
      <c r="C30" s="424" t="e">
        <f>SUM(EMPREINTE!$H241:$I245)/1000</f>
        <v>#DIV/0!</v>
      </c>
      <c r="D30" s="424" t="e">
        <f ca="1">SUM(INDIRECT(CONCATENATE("'",J$1,"'","!$H241:$I245")))/1000</f>
        <v>#REF!</v>
      </c>
      <c r="E30" s="424" t="e">
        <f ca="1">SUM(INDIRECT(CONCATENATE("'",K$1,"'","!$H241:$I245")))/1000</f>
        <v>#REF!</v>
      </c>
      <c r="F30" s="424" t="e">
        <f ca="1">SUM(INDIRECT(CONCATENATE("'",L$1,"'","!$H241:$I245")))/1000</f>
        <v>#REF!</v>
      </c>
    </row>
    <row r="31" spans="1:6" x14ac:dyDescent="0.2">
      <c r="B31" s="6" t="s">
        <v>421</v>
      </c>
      <c r="C31" s="424">
        <f>SUM(EMPREINTE!$H249:$I253)/1000</f>
        <v>0</v>
      </c>
      <c r="D31" s="424" t="e">
        <f ca="1">SUM(INDIRECT(CONCATENATE("'",J$1,"'","!$H249:$I253")))/1000</f>
        <v>#REF!</v>
      </c>
      <c r="E31" s="424" t="e">
        <f ca="1">SUM(INDIRECT(CONCATENATE("'",K$1,"'","!$H249:$I253")))/1000</f>
        <v>#REF!</v>
      </c>
      <c r="F31" s="424" t="e">
        <f ca="1">SUM(INDIRECT(CONCATENATE("'",L$1,"'","!$H249:$I253")))/1000</f>
        <v>#REF!</v>
      </c>
    </row>
    <row r="32" spans="1:6" x14ac:dyDescent="0.2">
      <c r="B32" s="6" t="s">
        <v>422</v>
      </c>
      <c r="C32" s="424">
        <f>SUM(EMPREINTE!$H257:$I258)/1000</f>
        <v>0</v>
      </c>
      <c r="D32" s="424" t="e">
        <f ca="1">SUM(INDIRECT(CONCATENATE("'",J$1,"'","!$H257:$I258")))/1000</f>
        <v>#REF!</v>
      </c>
      <c r="E32" s="424" t="e">
        <f ca="1">SUM(INDIRECT(CONCATENATE("'",K$1,"'","!$H257:$I258")))/1000</f>
        <v>#REF!</v>
      </c>
      <c r="F32" s="424" t="e">
        <f ca="1">SUM(INDIRECT(CONCATENATE("'",L$1,"'","!$H257:$I258")))/1000</f>
        <v>#REF!</v>
      </c>
    </row>
    <row r="33" spans="1:65" x14ac:dyDescent="0.2">
      <c r="B33" s="6" t="s">
        <v>423</v>
      </c>
      <c r="C33" s="424">
        <f>SUM(EMPREINTE!$H261:$I267)/1000</f>
        <v>0</v>
      </c>
      <c r="D33" s="424" t="e">
        <f ca="1">SUM(INDIRECT(CONCATENATE("'",J$1,"'","!$H261:$I267")))/1000</f>
        <v>#REF!</v>
      </c>
      <c r="E33" s="424" t="e">
        <f ca="1">SUM(INDIRECT(CONCATENATE("'",K$1,"'","!$H261:$I267")))/1000</f>
        <v>#REF!</v>
      </c>
      <c r="F33" s="424" t="e">
        <f ca="1">SUM(INDIRECT(CONCATENATE("'",L$1,"'","!$H261:$I267")))/1000</f>
        <v>#REF!</v>
      </c>
    </row>
    <row r="34" spans="1:65" x14ac:dyDescent="0.2">
      <c r="B34" s="6" t="s">
        <v>424</v>
      </c>
      <c r="C34" s="424">
        <f>SUM(EMPREINTE!$H270:$I272)/1000</f>
        <v>0</v>
      </c>
      <c r="D34" s="424" t="e">
        <f ca="1">SUM(INDIRECT(CONCATENATE("'",J$1,"'","!$H270:$I272")))/1000</f>
        <v>#REF!</v>
      </c>
      <c r="E34" s="424" t="e">
        <f ca="1">SUM(INDIRECT(CONCATENATE("'",K$1,"'","!$H270:$I272")))/1000</f>
        <v>#REF!</v>
      </c>
      <c r="F34" s="424" t="e">
        <f ca="1">SUM(INDIRECT(CONCATENATE("'",L$1,"'","!$H270:$I272")))/1000</f>
        <v>#REF!</v>
      </c>
    </row>
    <row r="35" spans="1:65" x14ac:dyDescent="0.2">
      <c r="B35" s="6" t="s">
        <v>425</v>
      </c>
      <c r="C35" s="424">
        <f>SUM(EMPREINTE!$H276:$I278)/1000</f>
        <v>0</v>
      </c>
      <c r="D35" s="424" t="e">
        <f ca="1">SUM(INDIRECT(CONCATENATE("'",J$1,"'","!$H276:$I278")))/1000</f>
        <v>#REF!</v>
      </c>
      <c r="E35" s="424" t="e">
        <f ca="1">SUM(INDIRECT(CONCATENATE("'",K$1,"'","!$H276:$I278")))/1000</f>
        <v>#REF!</v>
      </c>
      <c r="F35" s="424" t="e">
        <f ca="1">SUM(INDIRECT(CONCATENATE("'",L$1,"'","!$H276:$I278")))/1000</f>
        <v>#REF!</v>
      </c>
    </row>
    <row r="36" spans="1:65" x14ac:dyDescent="0.2">
      <c r="B36" s="6" t="s">
        <v>426</v>
      </c>
      <c r="C36" s="424">
        <f>SUM(EMPREINTE!$H281:$I286)/1000</f>
        <v>0</v>
      </c>
      <c r="D36" s="424" t="e">
        <f ca="1">SUM(INDIRECT(CONCATENATE("'",J$1,"'","!$H281:$I286")))/1000</f>
        <v>#REF!</v>
      </c>
      <c r="E36" s="424" t="e">
        <f ca="1">SUM(INDIRECT(CONCATENATE("'",K$1,"'","!$H281:$I286")))/1000</f>
        <v>#REF!</v>
      </c>
      <c r="F36" s="424" t="e">
        <f ca="1">SUM(INDIRECT(CONCATENATE("'",L$1,"'","!$H281:$I286")))/1000</f>
        <v>#REF!</v>
      </c>
    </row>
    <row r="37" spans="1:65" x14ac:dyDescent="0.2">
      <c r="B37" s="6" t="s">
        <v>427</v>
      </c>
      <c r="C37" s="424">
        <f>SUM(EMPREINTE!$H289:$I290)/1000</f>
        <v>0</v>
      </c>
      <c r="D37" s="424" t="e">
        <f ca="1">SUM(INDIRECT(CONCATENATE("'",J$1,"'","!$H289:$I290")))/1000</f>
        <v>#REF!</v>
      </c>
      <c r="E37" s="424" t="e">
        <f ca="1">SUM(INDIRECT(CONCATENATE("'",K$1,"'","!$H289:$I290")))/1000</f>
        <v>#REF!</v>
      </c>
      <c r="F37" s="424" t="e">
        <f ca="1">SUM(INDIRECT(CONCATENATE("'",L$1,"'","!$H289:$I290")))/1000</f>
        <v>#REF!</v>
      </c>
    </row>
    <row r="38" spans="1:65" x14ac:dyDescent="0.2">
      <c r="B38" s="6" t="s">
        <v>428</v>
      </c>
      <c r="C38" s="424">
        <f>SUM(EMPREINTE!$H293:$I294)/1000</f>
        <v>0</v>
      </c>
      <c r="D38" s="424" t="e">
        <f ca="1">SUM(INDIRECT(CONCATENATE("'",J$1,"'","!$H293:$I294")))/1000</f>
        <v>#REF!</v>
      </c>
      <c r="E38" s="424" t="e">
        <f ca="1">SUM(INDIRECT(CONCATENATE("'",K$1,"'","!$H293:$I294")))/1000</f>
        <v>#REF!</v>
      </c>
      <c r="F38" s="424" t="e">
        <f ca="1">SUM(INDIRECT(CONCATENATE("'",L$1,"'","!$H293:$I294")))/1000</f>
        <v>#REF!</v>
      </c>
    </row>
    <row r="39" spans="1:65" x14ac:dyDescent="0.2">
      <c r="B39" s="6" t="s">
        <v>429</v>
      </c>
      <c r="C39" s="424" t="e">
        <f>SUM(EMPREINTE!$H302:$I302)/1000</f>
        <v>#DIV/0!</v>
      </c>
      <c r="D39" s="424" t="e">
        <f ca="1">SUM(INDIRECT(CONCATENATE("'",J$1,"'","!$H302:$I302")))/1000</f>
        <v>#REF!</v>
      </c>
      <c r="E39" s="424" t="e">
        <f ca="1">SUM(INDIRECT(CONCATENATE("'",K$1,"'","!$H302:$I302")))/1000</f>
        <v>#REF!</v>
      </c>
      <c r="F39" s="424" t="e">
        <f ca="1">SUM(INDIRECT(CONCATENATE("'",L$1,"'","!$H302:$I302")))/1000</f>
        <v>#REF!</v>
      </c>
    </row>
    <row r="40" spans="1:65" x14ac:dyDescent="0.2">
      <c r="B40" s="6" t="s">
        <v>430</v>
      </c>
      <c r="C40" s="424" t="e">
        <f>SUM(EMPREINTE!$H306:$I307)/1000</f>
        <v>#DIV/0!</v>
      </c>
      <c r="D40" s="424" t="e">
        <f ca="1">SUM(INDIRECT(CONCATENATE("'",J$1,"'","!$H306:$I307")))/1000</f>
        <v>#REF!</v>
      </c>
      <c r="E40" s="424" t="e">
        <f ca="1">SUM(INDIRECT(CONCATENATE("'",K$1,"'","!$H306:$I307")))/1000</f>
        <v>#REF!</v>
      </c>
      <c r="F40" s="424" t="e">
        <f ca="1">SUM(INDIRECT(CONCATENATE("'",L$1,"'","!$H306:$I307")))/1000</f>
        <v>#REF!</v>
      </c>
    </row>
    <row r="41" spans="1:65" x14ac:dyDescent="0.2">
      <c r="B41" s="432" t="s">
        <v>408</v>
      </c>
      <c r="C41" s="424" t="e">
        <f>SUM(C26:C40)</f>
        <v>#DIV/0!</v>
      </c>
      <c r="D41" s="424" t="e">
        <f ca="1">SUM(D26:D40)</f>
        <v>#REF!</v>
      </c>
      <c r="E41" s="424" t="e">
        <f ca="1">SUM(E26:E40)</f>
        <v>#REF!</v>
      </c>
      <c r="F41" s="424" t="e">
        <f ca="1">SUM(F26:F40)</f>
        <v>#REF!</v>
      </c>
    </row>
    <row r="42" spans="1:65" x14ac:dyDescent="0.2">
      <c r="C42" s="424" t="s">
        <v>409</v>
      </c>
      <c r="D42" s="424" t="s">
        <v>409</v>
      </c>
      <c r="E42" s="424" t="s">
        <v>409</v>
      </c>
      <c r="F42" s="424" t="s">
        <v>409</v>
      </c>
    </row>
    <row r="43" spans="1:65" x14ac:dyDescent="0.2">
      <c r="D43" s="424"/>
      <c r="E43" s="424"/>
      <c r="F43" s="424"/>
    </row>
    <row r="44" spans="1:65" x14ac:dyDescent="0.2">
      <c r="D44" s="424"/>
      <c r="E44" s="424"/>
      <c r="F44" s="424"/>
    </row>
    <row r="45" spans="1:65" x14ac:dyDescent="0.2">
      <c r="D45" s="424"/>
      <c r="E45" s="424"/>
      <c r="F45" s="424"/>
    </row>
    <row r="46" spans="1:65" s="445" customFormat="1" x14ac:dyDescent="0.2">
      <c r="A46" s="6"/>
      <c r="B46" s="6"/>
      <c r="C46" s="424"/>
      <c r="D46" s="424"/>
      <c r="E46" s="424"/>
      <c r="F46" s="424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  <c r="AT46" s="113"/>
      <c r="AU46" s="113"/>
      <c r="AV46" s="113"/>
      <c r="AW46" s="113"/>
      <c r="AX46" s="113"/>
      <c r="AY46" s="113"/>
      <c r="AZ46" s="113"/>
      <c r="BA46" s="113"/>
      <c r="BB46" s="113"/>
      <c r="BC46" s="113"/>
      <c r="BD46" s="113"/>
      <c r="BE46" s="113"/>
      <c r="BF46" s="113"/>
      <c r="BG46" s="113"/>
      <c r="BH46" s="113"/>
      <c r="BI46" s="113"/>
      <c r="BJ46" s="113"/>
      <c r="BK46" s="113"/>
      <c r="BL46" s="113"/>
      <c r="BM46" s="113"/>
    </row>
    <row r="47" spans="1:65" x14ac:dyDescent="0.2">
      <c r="D47" s="424"/>
      <c r="E47" s="424"/>
      <c r="F47" s="424"/>
    </row>
    <row r="48" spans="1:65" x14ac:dyDescent="0.2">
      <c r="D48" s="424"/>
      <c r="E48" s="424"/>
      <c r="F48" s="424"/>
    </row>
    <row r="49" spans="1:65" x14ac:dyDescent="0.2">
      <c r="D49" s="424"/>
      <c r="E49" s="424"/>
      <c r="F49" s="424"/>
    </row>
    <row r="50" spans="1:65" x14ac:dyDescent="0.2">
      <c r="D50" s="424"/>
      <c r="E50" s="424"/>
      <c r="F50" s="424"/>
    </row>
    <row r="51" spans="1:65" ht="27.75" customHeight="1" x14ac:dyDescent="0.2">
      <c r="A51" s="97"/>
      <c r="B51" s="359" t="s">
        <v>349</v>
      </c>
      <c r="C51" s="446" t="str">
        <f>I$1</f>
        <v>EMPREINTE</v>
      </c>
      <c r="D51" s="446" t="str">
        <f>J$1</f>
        <v>EMPREINTE (2)</v>
      </c>
      <c r="E51" s="446" t="str">
        <f>K$1</f>
        <v>EMPREINTE (3)</v>
      </c>
      <c r="F51" s="446" t="str">
        <f>L$1</f>
        <v>EMPREINTE (4)</v>
      </c>
      <c r="G51" s="445"/>
      <c r="H51" s="445"/>
      <c r="I51" s="445"/>
      <c r="J51" s="445"/>
      <c r="K51" s="445"/>
      <c r="L51" s="445"/>
      <c r="M51" s="445"/>
      <c r="N51" s="445"/>
      <c r="O51" s="445"/>
      <c r="P51" s="445"/>
      <c r="Q51" s="445"/>
      <c r="R51" s="445"/>
      <c r="S51" s="445"/>
      <c r="T51" s="445"/>
      <c r="U51" s="445"/>
      <c r="V51" s="445"/>
      <c r="W51" s="445"/>
      <c r="X51" s="445"/>
      <c r="Y51" s="445"/>
      <c r="Z51" s="445"/>
      <c r="AA51" s="445"/>
      <c r="AB51" s="445"/>
      <c r="AC51" s="445"/>
      <c r="AD51" s="445"/>
      <c r="AE51" s="445"/>
      <c r="AF51" s="445"/>
      <c r="AG51" s="445"/>
      <c r="AH51" s="445"/>
      <c r="AI51" s="445"/>
      <c r="AJ51" s="445"/>
      <c r="AK51" s="445"/>
      <c r="AL51" s="445"/>
      <c r="AM51" s="445"/>
      <c r="AN51" s="445"/>
      <c r="AO51" s="445"/>
      <c r="AP51" s="445"/>
      <c r="AQ51" s="445"/>
      <c r="AR51" s="445"/>
      <c r="AS51" s="445"/>
      <c r="AT51" s="445"/>
      <c r="AU51" s="445"/>
      <c r="AV51" s="445"/>
      <c r="AW51" s="445"/>
      <c r="AX51" s="445"/>
      <c r="AY51" s="445"/>
      <c r="AZ51" s="445"/>
      <c r="BA51" s="445"/>
      <c r="BB51" s="445"/>
      <c r="BC51" s="445"/>
      <c r="BD51" s="445"/>
      <c r="BE51" s="445"/>
      <c r="BF51" s="445"/>
      <c r="BG51" s="445"/>
      <c r="BH51" s="445"/>
      <c r="BI51" s="445"/>
      <c r="BJ51" s="445"/>
      <c r="BK51" s="445"/>
      <c r="BL51" s="445"/>
      <c r="BM51" s="445"/>
    </row>
    <row r="52" spans="1:65" x14ac:dyDescent="0.2">
      <c r="B52" s="6" t="s">
        <v>431</v>
      </c>
      <c r="C52" s="424" t="e">
        <f>SUM(EMPREINTE!$H311:$J315)/1000</f>
        <v>#DIV/0!</v>
      </c>
      <c r="D52" s="424" t="e">
        <f ca="1">SUM(INDIRECT(CONCATENATE("'",J$1,"'","!$H311:$I315")))/1000</f>
        <v>#REF!</v>
      </c>
      <c r="E52" s="424" t="e">
        <f ca="1">SUM(INDIRECT(CONCATENATE("'",K$1,"'","!$H311:$I315")))/1000</f>
        <v>#REF!</v>
      </c>
      <c r="F52" s="424" t="e">
        <f ca="1">SUM(INDIRECT(CONCATENATE("'",L$1,"'","!$H311:$I315")))/1000</f>
        <v>#REF!</v>
      </c>
    </row>
    <row r="53" spans="1:65" x14ac:dyDescent="0.2">
      <c r="B53" s="6" t="s">
        <v>432</v>
      </c>
      <c r="C53" s="424" t="e">
        <f>SUM(EMPREINTE!$H317:$J321)/1000</f>
        <v>#DIV/0!</v>
      </c>
      <c r="D53" s="424" t="e">
        <f ca="1">SUM(INDIRECT(CONCATENATE("'",J$1,"'","!$H317:$I321")))/1000</f>
        <v>#REF!</v>
      </c>
      <c r="E53" s="424" t="e">
        <f ca="1">SUM(INDIRECT(CONCATENATE("'",K$1,"'","!$H317:$I321")))/1000</f>
        <v>#REF!</v>
      </c>
      <c r="F53" s="424" t="e">
        <f ca="1">SUM(INDIRECT(CONCATENATE("'",L$1,"'","!$H317:$I321")))/1000</f>
        <v>#REF!</v>
      </c>
    </row>
    <row r="54" spans="1:65" x14ac:dyDescent="0.2">
      <c r="B54" s="6" t="s">
        <v>433</v>
      </c>
      <c r="C54" s="424" t="e">
        <f>SUM(EMPREINTE!$H323:$J327)/1000</f>
        <v>#DIV/0!</v>
      </c>
      <c r="D54" s="424" t="e">
        <f ca="1">SUM(INDIRECT(CONCATENATE("'",J$1,"'","!$H323:$I327")))/1000</f>
        <v>#REF!</v>
      </c>
      <c r="E54" s="424" t="e">
        <f ca="1">SUM(INDIRECT(CONCATENATE("'",K$1,"'","!$H323:$I327")))/1000</f>
        <v>#REF!</v>
      </c>
      <c r="F54" s="424" t="e">
        <f ca="1">SUM(INDIRECT(CONCATENATE("'",L$1,"'","!$H323:$I327")))/1000</f>
        <v>#REF!</v>
      </c>
    </row>
    <row r="55" spans="1:65" x14ac:dyDescent="0.2">
      <c r="B55" s="6" t="s">
        <v>434</v>
      </c>
      <c r="C55" s="424" t="e">
        <f>SUM(EMPREINTE!$H329:$J333)/1000</f>
        <v>#DIV/0!</v>
      </c>
      <c r="D55" s="424" t="e">
        <f ca="1">SUM(INDIRECT(CONCATENATE("'",J$1,"'","!$H329:$I333")))/1000</f>
        <v>#REF!</v>
      </c>
      <c r="E55" s="424" t="e">
        <f ca="1">SUM(INDIRECT(CONCATENATE("'",K$1,"'","!$H329:$I333")))/1000</f>
        <v>#REF!</v>
      </c>
      <c r="F55" s="424" t="e">
        <f ca="1">SUM(INDIRECT(CONCATENATE("'",L$1,"'","!$H329:$I333")))/1000</f>
        <v>#REF!</v>
      </c>
    </row>
    <row r="56" spans="1:65" ht="27.75" customHeight="1" x14ac:dyDescent="0.2">
      <c r="B56" s="393" t="s">
        <v>364</v>
      </c>
      <c r="D56" s="424"/>
      <c r="E56" s="424"/>
      <c r="F56" s="424"/>
    </row>
    <row r="57" spans="1:65" x14ac:dyDescent="0.2">
      <c r="B57" s="6" t="s">
        <v>435</v>
      </c>
      <c r="C57" s="424">
        <f>SUM(EMPREINTE!$H337:$J341)/1000</f>
        <v>0</v>
      </c>
      <c r="D57" s="424" t="e">
        <f ca="1">SUM(INDIRECT(CONCATENATE("'",J$1,"'","!$H337:$I341")))/1000</f>
        <v>#REF!</v>
      </c>
      <c r="E57" s="424" t="e">
        <f ca="1">SUM(INDIRECT(CONCATENATE("'",K$1,"'","!$H337:$I341")))/1000</f>
        <v>#REF!</v>
      </c>
      <c r="F57" s="424" t="e">
        <f ca="1">SUM(INDIRECT(CONCATENATE("'",L$1,"'","!$H337:$I341")))/1000</f>
        <v>#REF!</v>
      </c>
    </row>
    <row r="58" spans="1:65" x14ac:dyDescent="0.2">
      <c r="B58" s="6" t="s">
        <v>436</v>
      </c>
      <c r="C58" s="424">
        <f>SUM(EMPREINTE!$H343:$J345)/1000</f>
        <v>0</v>
      </c>
      <c r="D58" s="424" t="e">
        <f ca="1">SUM(INDIRECT(CONCATENATE("'",J$1,"'","!$H343:$I345")))/1000</f>
        <v>#REF!</v>
      </c>
      <c r="E58" s="424" t="e">
        <f ca="1">SUM(INDIRECT(CONCATENATE("'",K$1,"'","!$H343:$I345")))/1000</f>
        <v>#REF!</v>
      </c>
      <c r="F58" s="424" t="e">
        <f ca="1">SUM(INDIRECT(CONCATENATE("'",L$1,"'","!$H343:$I345")))/1000</f>
        <v>#REF!</v>
      </c>
    </row>
    <row r="59" spans="1:65" x14ac:dyDescent="0.2">
      <c r="B59" s="6" t="s">
        <v>437</v>
      </c>
      <c r="C59" s="424">
        <f>SUM(EMPREINTE!$H347:$J349)/1000</f>
        <v>0</v>
      </c>
      <c r="D59" s="424" t="e">
        <f ca="1">SUM(INDIRECT(CONCATENATE("'",J$1,"'","!$H347:$I349")))/1000</f>
        <v>#REF!</v>
      </c>
      <c r="E59" s="424" t="e">
        <f ca="1">SUM(INDIRECT(CONCATENATE("'",K$1,"'","!$H347:$I349")))/1000</f>
        <v>#REF!</v>
      </c>
      <c r="F59" s="424" t="e">
        <f ca="1">SUM(INDIRECT(CONCATENATE("'",L$1,"'","!$H347:$I349")))/1000</f>
        <v>#REF!</v>
      </c>
    </row>
    <row r="60" spans="1:65" x14ac:dyDescent="0.2">
      <c r="B60" s="6" t="s">
        <v>438</v>
      </c>
      <c r="C60" s="424">
        <f>SUM(EMPREINTE!$H351:$J353)/1000</f>
        <v>0</v>
      </c>
      <c r="D60" s="424" t="e">
        <f ca="1">SUM(INDIRECT(CONCATENATE("'",J$1,"'","!$H351:$I353")))/1000</f>
        <v>#REF!</v>
      </c>
      <c r="E60" s="424" t="e">
        <f ca="1">SUM(INDIRECT(CONCATENATE("'",K$1,"'","!$H351:$I353")))/1000</f>
        <v>#REF!</v>
      </c>
      <c r="F60" s="424" t="e">
        <f ca="1">SUM(INDIRECT(CONCATENATE("'",L$1,"'","!$H351:$I353")))/1000</f>
        <v>#REF!</v>
      </c>
    </row>
    <row r="61" spans="1:65" x14ac:dyDescent="0.2">
      <c r="B61" s="432" t="s">
        <v>408</v>
      </c>
      <c r="C61" s="424" t="e">
        <f>SUM(C52:C60)</f>
        <v>#DIV/0!</v>
      </c>
      <c r="D61" s="424" t="e">
        <f ca="1">SUM(D52:D60)</f>
        <v>#REF!</v>
      </c>
      <c r="E61" s="424" t="e">
        <f ca="1">SUM(E52:E60)</f>
        <v>#REF!</v>
      </c>
      <c r="F61" s="424" t="e">
        <f ca="1">SUM(F52:F60)</f>
        <v>#REF!</v>
      </c>
    </row>
    <row r="62" spans="1:65" x14ac:dyDescent="0.2">
      <c r="C62" s="424" t="s">
        <v>409</v>
      </c>
      <c r="D62" s="424" t="s">
        <v>409</v>
      </c>
      <c r="E62" s="424" t="s">
        <v>409</v>
      </c>
      <c r="F62" s="424" t="s">
        <v>409</v>
      </c>
    </row>
    <row r="65" spans="1:65" s="445" customFormat="1" ht="12.75" customHeight="1" x14ac:dyDescent="0.2">
      <c r="A65" s="6"/>
      <c r="B65" s="6"/>
      <c r="C65" s="424"/>
      <c r="D65" s="6"/>
      <c r="E65" s="6"/>
      <c r="F65" s="6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  <c r="AG65" s="113"/>
      <c r="AH65" s="113"/>
      <c r="AI65" s="113"/>
      <c r="AJ65" s="113"/>
      <c r="AK65" s="113"/>
      <c r="AL65" s="113"/>
      <c r="AM65" s="113"/>
      <c r="AN65" s="113"/>
      <c r="AO65" s="113"/>
      <c r="AP65" s="113"/>
      <c r="AQ65" s="113"/>
      <c r="AR65" s="113"/>
      <c r="AS65" s="113"/>
      <c r="AT65" s="113"/>
      <c r="AU65" s="113"/>
      <c r="AV65" s="113"/>
      <c r="AW65" s="113"/>
      <c r="AX65" s="113"/>
      <c r="AY65" s="113"/>
      <c r="AZ65" s="113"/>
      <c r="BA65" s="113"/>
      <c r="BB65" s="113"/>
      <c r="BC65" s="113"/>
      <c r="BD65" s="113"/>
      <c r="BE65" s="113"/>
      <c r="BF65" s="113"/>
      <c r="BG65" s="113"/>
      <c r="BH65" s="113"/>
      <c r="BI65" s="113"/>
      <c r="BJ65" s="113"/>
      <c r="BK65" s="113"/>
      <c r="BL65" s="113"/>
      <c r="BM65" s="113"/>
    </row>
    <row r="70" spans="1:65" ht="27.75" customHeight="1" x14ac:dyDescent="0.2">
      <c r="A70" s="97"/>
      <c r="B70" s="439" t="s">
        <v>439</v>
      </c>
      <c r="C70" s="97"/>
      <c r="D70" s="446" t="str">
        <f>I$1</f>
        <v>EMPREINTE</v>
      </c>
      <c r="E70" s="446" t="str">
        <f>J$1</f>
        <v>EMPREINTE (2)</v>
      </c>
      <c r="F70" s="446" t="str">
        <f>K$1</f>
        <v>EMPREINTE (3)</v>
      </c>
      <c r="G70" s="446" t="str">
        <f>L$1</f>
        <v>EMPREINTE (4)</v>
      </c>
      <c r="H70" s="445"/>
      <c r="I70" s="445"/>
      <c r="J70" s="445"/>
      <c r="K70" s="445"/>
      <c r="L70" s="445"/>
      <c r="M70" s="445"/>
      <c r="N70" s="445"/>
      <c r="O70" s="445"/>
      <c r="P70" s="445"/>
      <c r="Q70" s="445"/>
      <c r="R70" s="445"/>
      <c r="S70" s="445"/>
      <c r="T70" s="445"/>
      <c r="U70" s="445"/>
      <c r="V70" s="445"/>
      <c r="W70" s="445"/>
      <c r="X70" s="445"/>
      <c r="Y70" s="445"/>
      <c r="Z70" s="445"/>
      <c r="AA70" s="445"/>
      <c r="AB70" s="445"/>
      <c r="AC70" s="445"/>
      <c r="AD70" s="445"/>
      <c r="AE70" s="445"/>
      <c r="AF70" s="445"/>
      <c r="AG70" s="445"/>
      <c r="AH70" s="445"/>
      <c r="AI70" s="445"/>
      <c r="AJ70" s="445"/>
      <c r="AK70" s="445"/>
      <c r="AL70" s="445"/>
      <c r="AM70" s="445"/>
      <c r="AN70" s="445"/>
      <c r="AO70" s="445"/>
      <c r="AP70" s="445"/>
      <c r="AQ70" s="445"/>
      <c r="AR70" s="445"/>
      <c r="AS70" s="445"/>
      <c r="AT70" s="445"/>
      <c r="AU70" s="445"/>
      <c r="AV70" s="445"/>
      <c r="AW70" s="445"/>
      <c r="AX70" s="445"/>
      <c r="AY70" s="445"/>
      <c r="AZ70" s="445"/>
      <c r="BA70" s="445"/>
      <c r="BB70" s="445"/>
      <c r="BC70" s="445"/>
      <c r="BD70" s="445"/>
      <c r="BE70" s="445"/>
      <c r="BF70" s="445"/>
      <c r="BG70" s="445"/>
      <c r="BH70" s="445"/>
      <c r="BI70" s="445"/>
      <c r="BJ70" s="445"/>
      <c r="BK70" s="445"/>
      <c r="BL70" s="445"/>
      <c r="BM70" s="445"/>
    </row>
    <row r="71" spans="1:65" x14ac:dyDescent="0.2">
      <c r="C71" s="6"/>
      <c r="D71" s="431">
        <v>0</v>
      </c>
      <c r="E71" s="431">
        <v>0</v>
      </c>
      <c r="F71" s="431">
        <v>0</v>
      </c>
      <c r="G71" s="447">
        <v>0</v>
      </c>
    </row>
    <row r="72" spans="1:65" x14ac:dyDescent="0.2">
      <c r="B72" s="6">
        <f>PROJET!C15</f>
        <v>0</v>
      </c>
      <c r="C72" s="6">
        <f>B72</f>
        <v>0</v>
      </c>
      <c r="D72" s="440" t="e">
        <f>C15</f>
        <v>#DIV/0!</v>
      </c>
      <c r="E72" s="440" t="e">
        <f ca="1">D15</f>
        <v>#REF!</v>
      </c>
      <c r="F72" s="440" t="e">
        <f ca="1">E15</f>
        <v>#REF!</v>
      </c>
      <c r="G72" s="440" t="e">
        <f ca="1">F15</f>
        <v>#REF!</v>
      </c>
    </row>
    <row r="73" spans="1:65" x14ac:dyDescent="0.2">
      <c r="B73" s="6">
        <f t="shared" ref="B73:B101" si="0">B72+1</f>
        <v>1</v>
      </c>
      <c r="C73" s="6"/>
      <c r="D73" s="440" t="e">
        <f>D72+C41+C61</f>
        <v>#DIV/0!</v>
      </c>
      <c r="E73" s="440" t="e">
        <f ca="1">E72+D41+D61</f>
        <v>#REF!</v>
      </c>
      <c r="F73" s="440" t="e">
        <f ca="1">F72+E41+E61</f>
        <v>#REF!</v>
      </c>
      <c r="G73" s="440" t="e">
        <f ca="1">G72+F41+F61</f>
        <v>#REF!</v>
      </c>
    </row>
    <row r="74" spans="1:65" x14ac:dyDescent="0.2">
      <c r="B74" s="6">
        <f t="shared" si="0"/>
        <v>2</v>
      </c>
      <c r="C74" s="6" t="str">
        <f>IF(ROUND(B74/5,0)=B74/5,B74,IF(ROUND(B73/5,0)=B73/5,B74,""))</f>
        <v/>
      </c>
      <c r="D74" s="440" t="e">
        <f t="shared" ref="D74:D101" si="1">2*D73-D72</f>
        <v>#DIV/0!</v>
      </c>
      <c r="E74" s="440" t="e">
        <f t="shared" ref="E74:E101" ca="1" si="2">2*E73-E72</f>
        <v>#REF!</v>
      </c>
      <c r="F74" s="440" t="e">
        <f t="shared" ref="F74:F101" ca="1" si="3">2*F73-F72</f>
        <v>#REF!</v>
      </c>
      <c r="G74" s="440" t="e">
        <f t="shared" ref="G74:G101" ca="1" si="4">2*G73-G72</f>
        <v>#REF!</v>
      </c>
    </row>
    <row r="75" spans="1:65" x14ac:dyDescent="0.2">
      <c r="B75" s="6">
        <f t="shared" si="0"/>
        <v>3</v>
      </c>
      <c r="C75" s="6" t="str">
        <f t="shared" ref="C75:C101" si="5">IF(ROUND(B75/5,0)=B75/5,B75,"")</f>
        <v/>
      </c>
      <c r="D75" s="440" t="e">
        <f t="shared" si="1"/>
        <v>#DIV/0!</v>
      </c>
      <c r="E75" s="440" t="e">
        <f t="shared" ca="1" si="2"/>
        <v>#REF!</v>
      </c>
      <c r="F75" s="440" t="e">
        <f t="shared" ca="1" si="3"/>
        <v>#REF!</v>
      </c>
      <c r="G75" s="440" t="e">
        <f t="shared" ca="1" si="4"/>
        <v>#REF!</v>
      </c>
    </row>
    <row r="76" spans="1:65" x14ac:dyDescent="0.2">
      <c r="B76" s="6">
        <f t="shared" si="0"/>
        <v>4</v>
      </c>
      <c r="C76" s="6" t="str">
        <f t="shared" si="5"/>
        <v/>
      </c>
      <c r="D76" s="440" t="e">
        <f t="shared" si="1"/>
        <v>#DIV/0!</v>
      </c>
      <c r="E76" s="440" t="e">
        <f t="shared" ca="1" si="2"/>
        <v>#REF!</v>
      </c>
      <c r="F76" s="440" t="e">
        <f t="shared" ca="1" si="3"/>
        <v>#REF!</v>
      </c>
      <c r="G76" s="440" t="e">
        <f t="shared" ca="1" si="4"/>
        <v>#REF!</v>
      </c>
    </row>
    <row r="77" spans="1:65" x14ac:dyDescent="0.2">
      <c r="B77" s="6">
        <f t="shared" si="0"/>
        <v>5</v>
      </c>
      <c r="C77" s="6">
        <f t="shared" si="5"/>
        <v>5</v>
      </c>
      <c r="D77" s="440" t="e">
        <f t="shared" si="1"/>
        <v>#DIV/0!</v>
      </c>
      <c r="E77" s="440" t="e">
        <f t="shared" ca="1" si="2"/>
        <v>#REF!</v>
      </c>
      <c r="F77" s="440" t="e">
        <f t="shared" ca="1" si="3"/>
        <v>#REF!</v>
      </c>
      <c r="G77" s="440" t="e">
        <f t="shared" ca="1" si="4"/>
        <v>#REF!</v>
      </c>
    </row>
    <row r="78" spans="1:65" x14ac:dyDescent="0.2">
      <c r="B78" s="6">
        <f t="shared" si="0"/>
        <v>6</v>
      </c>
      <c r="C78" s="6" t="str">
        <f t="shared" si="5"/>
        <v/>
      </c>
      <c r="D78" s="440" t="e">
        <f t="shared" si="1"/>
        <v>#DIV/0!</v>
      </c>
      <c r="E78" s="440" t="e">
        <f t="shared" ca="1" si="2"/>
        <v>#REF!</v>
      </c>
      <c r="F78" s="440" t="e">
        <f t="shared" ca="1" si="3"/>
        <v>#REF!</v>
      </c>
      <c r="G78" s="440" t="e">
        <f t="shared" ca="1" si="4"/>
        <v>#REF!</v>
      </c>
    </row>
    <row r="79" spans="1:65" x14ac:dyDescent="0.2">
      <c r="B79" s="6">
        <f t="shared" si="0"/>
        <v>7</v>
      </c>
      <c r="C79" s="6" t="str">
        <f t="shared" si="5"/>
        <v/>
      </c>
      <c r="D79" s="440" t="e">
        <f t="shared" si="1"/>
        <v>#DIV/0!</v>
      </c>
      <c r="E79" s="440" t="e">
        <f t="shared" ca="1" si="2"/>
        <v>#REF!</v>
      </c>
      <c r="F79" s="440" t="e">
        <f t="shared" ca="1" si="3"/>
        <v>#REF!</v>
      </c>
      <c r="G79" s="440" t="e">
        <f t="shared" ca="1" si="4"/>
        <v>#REF!</v>
      </c>
    </row>
    <row r="80" spans="1:65" x14ac:dyDescent="0.2">
      <c r="B80" s="6">
        <f t="shared" si="0"/>
        <v>8</v>
      </c>
      <c r="C80" s="6" t="str">
        <f t="shared" si="5"/>
        <v/>
      </c>
      <c r="D80" s="440" t="e">
        <f t="shared" si="1"/>
        <v>#DIV/0!</v>
      </c>
      <c r="E80" s="440" t="e">
        <f t="shared" ca="1" si="2"/>
        <v>#REF!</v>
      </c>
      <c r="F80" s="440" t="e">
        <f t="shared" ca="1" si="3"/>
        <v>#REF!</v>
      </c>
      <c r="G80" s="440" t="e">
        <f t="shared" ca="1" si="4"/>
        <v>#REF!</v>
      </c>
    </row>
    <row r="81" spans="2:7" x14ac:dyDescent="0.2">
      <c r="B81" s="6">
        <f t="shared" si="0"/>
        <v>9</v>
      </c>
      <c r="C81" s="6" t="str">
        <f t="shared" si="5"/>
        <v/>
      </c>
      <c r="D81" s="440" t="e">
        <f t="shared" si="1"/>
        <v>#DIV/0!</v>
      </c>
      <c r="E81" s="440" t="e">
        <f t="shared" ca="1" si="2"/>
        <v>#REF!</v>
      </c>
      <c r="F81" s="440" t="e">
        <f t="shared" ca="1" si="3"/>
        <v>#REF!</v>
      </c>
      <c r="G81" s="440" t="e">
        <f t="shared" ca="1" si="4"/>
        <v>#REF!</v>
      </c>
    </row>
    <row r="82" spans="2:7" x14ac:dyDescent="0.2">
      <c r="B82" s="6">
        <f t="shared" si="0"/>
        <v>10</v>
      </c>
      <c r="C82" s="6">
        <f t="shared" si="5"/>
        <v>10</v>
      </c>
      <c r="D82" s="440" t="e">
        <f t="shared" si="1"/>
        <v>#DIV/0!</v>
      </c>
      <c r="E82" s="440" t="e">
        <f t="shared" ca="1" si="2"/>
        <v>#REF!</v>
      </c>
      <c r="F82" s="440" t="e">
        <f t="shared" ca="1" si="3"/>
        <v>#REF!</v>
      </c>
      <c r="G82" s="440" t="e">
        <f t="shared" ca="1" si="4"/>
        <v>#REF!</v>
      </c>
    </row>
    <row r="83" spans="2:7" x14ac:dyDescent="0.2">
      <c r="B83" s="6">
        <f t="shared" si="0"/>
        <v>11</v>
      </c>
      <c r="C83" s="6" t="str">
        <f t="shared" si="5"/>
        <v/>
      </c>
      <c r="D83" s="440" t="e">
        <f t="shared" si="1"/>
        <v>#DIV/0!</v>
      </c>
      <c r="E83" s="440" t="e">
        <f t="shared" ca="1" si="2"/>
        <v>#REF!</v>
      </c>
      <c r="F83" s="440" t="e">
        <f t="shared" ca="1" si="3"/>
        <v>#REF!</v>
      </c>
      <c r="G83" s="440" t="e">
        <f t="shared" ca="1" si="4"/>
        <v>#REF!</v>
      </c>
    </row>
    <row r="84" spans="2:7" x14ac:dyDescent="0.2">
      <c r="B84" s="6">
        <f t="shared" si="0"/>
        <v>12</v>
      </c>
      <c r="C84" s="6" t="str">
        <f t="shared" si="5"/>
        <v/>
      </c>
      <c r="D84" s="440" t="e">
        <f t="shared" si="1"/>
        <v>#DIV/0!</v>
      </c>
      <c r="E84" s="440" t="e">
        <f t="shared" ca="1" si="2"/>
        <v>#REF!</v>
      </c>
      <c r="F84" s="440" t="e">
        <f t="shared" ca="1" si="3"/>
        <v>#REF!</v>
      </c>
      <c r="G84" s="440" t="e">
        <f t="shared" ca="1" si="4"/>
        <v>#REF!</v>
      </c>
    </row>
    <row r="85" spans="2:7" x14ac:dyDescent="0.2">
      <c r="B85" s="6">
        <f t="shared" si="0"/>
        <v>13</v>
      </c>
      <c r="C85" s="6" t="str">
        <f t="shared" si="5"/>
        <v/>
      </c>
      <c r="D85" s="440" t="e">
        <f t="shared" si="1"/>
        <v>#DIV/0!</v>
      </c>
      <c r="E85" s="440" t="e">
        <f t="shared" ca="1" si="2"/>
        <v>#REF!</v>
      </c>
      <c r="F85" s="440" t="e">
        <f t="shared" ca="1" si="3"/>
        <v>#REF!</v>
      </c>
      <c r="G85" s="440" t="e">
        <f t="shared" ca="1" si="4"/>
        <v>#REF!</v>
      </c>
    </row>
    <row r="86" spans="2:7" x14ac:dyDescent="0.2">
      <c r="B86" s="6">
        <f t="shared" si="0"/>
        <v>14</v>
      </c>
      <c r="C86" s="6" t="str">
        <f t="shared" si="5"/>
        <v/>
      </c>
      <c r="D86" s="440" t="e">
        <f t="shared" si="1"/>
        <v>#DIV/0!</v>
      </c>
      <c r="E86" s="440" t="e">
        <f t="shared" ca="1" si="2"/>
        <v>#REF!</v>
      </c>
      <c r="F86" s="440" t="e">
        <f t="shared" ca="1" si="3"/>
        <v>#REF!</v>
      </c>
      <c r="G86" s="440" t="e">
        <f t="shared" ca="1" si="4"/>
        <v>#REF!</v>
      </c>
    </row>
    <row r="87" spans="2:7" x14ac:dyDescent="0.2">
      <c r="B87" s="6">
        <f t="shared" si="0"/>
        <v>15</v>
      </c>
      <c r="C87" s="6">
        <f t="shared" si="5"/>
        <v>15</v>
      </c>
      <c r="D87" s="440" t="e">
        <f t="shared" si="1"/>
        <v>#DIV/0!</v>
      </c>
      <c r="E87" s="440" t="e">
        <f t="shared" ca="1" si="2"/>
        <v>#REF!</v>
      </c>
      <c r="F87" s="440" t="e">
        <f t="shared" ca="1" si="3"/>
        <v>#REF!</v>
      </c>
      <c r="G87" s="440" t="e">
        <f t="shared" ca="1" si="4"/>
        <v>#REF!</v>
      </c>
    </row>
    <row r="88" spans="2:7" x14ac:dyDescent="0.2">
      <c r="B88" s="6">
        <f t="shared" si="0"/>
        <v>16</v>
      </c>
      <c r="C88" s="6" t="str">
        <f t="shared" si="5"/>
        <v/>
      </c>
      <c r="D88" s="440" t="e">
        <f t="shared" si="1"/>
        <v>#DIV/0!</v>
      </c>
      <c r="E88" s="440" t="e">
        <f t="shared" ca="1" si="2"/>
        <v>#REF!</v>
      </c>
      <c r="F88" s="440" t="e">
        <f t="shared" ca="1" si="3"/>
        <v>#REF!</v>
      </c>
      <c r="G88" s="440" t="e">
        <f t="shared" ca="1" si="4"/>
        <v>#REF!</v>
      </c>
    </row>
    <row r="89" spans="2:7" x14ac:dyDescent="0.2">
      <c r="B89" s="6">
        <f t="shared" si="0"/>
        <v>17</v>
      </c>
      <c r="C89" s="6" t="str">
        <f t="shared" si="5"/>
        <v/>
      </c>
      <c r="D89" s="440" t="e">
        <f t="shared" si="1"/>
        <v>#DIV/0!</v>
      </c>
      <c r="E89" s="440" t="e">
        <f t="shared" ca="1" si="2"/>
        <v>#REF!</v>
      </c>
      <c r="F89" s="440" t="e">
        <f t="shared" ca="1" si="3"/>
        <v>#REF!</v>
      </c>
      <c r="G89" s="440" t="e">
        <f t="shared" ca="1" si="4"/>
        <v>#REF!</v>
      </c>
    </row>
    <row r="90" spans="2:7" x14ac:dyDescent="0.2">
      <c r="B90" s="6">
        <f t="shared" si="0"/>
        <v>18</v>
      </c>
      <c r="C90" s="6" t="str">
        <f t="shared" si="5"/>
        <v/>
      </c>
      <c r="D90" s="440" t="e">
        <f t="shared" si="1"/>
        <v>#DIV/0!</v>
      </c>
      <c r="E90" s="440" t="e">
        <f t="shared" ca="1" si="2"/>
        <v>#REF!</v>
      </c>
      <c r="F90" s="440" t="e">
        <f t="shared" ca="1" si="3"/>
        <v>#REF!</v>
      </c>
      <c r="G90" s="440" t="e">
        <f t="shared" ca="1" si="4"/>
        <v>#REF!</v>
      </c>
    </row>
    <row r="91" spans="2:7" x14ac:dyDescent="0.2">
      <c r="B91" s="6">
        <f t="shared" si="0"/>
        <v>19</v>
      </c>
      <c r="C91" s="6" t="str">
        <f t="shared" si="5"/>
        <v/>
      </c>
      <c r="D91" s="440" t="e">
        <f t="shared" si="1"/>
        <v>#DIV/0!</v>
      </c>
      <c r="E91" s="440" t="e">
        <f t="shared" ca="1" si="2"/>
        <v>#REF!</v>
      </c>
      <c r="F91" s="440" t="e">
        <f t="shared" ca="1" si="3"/>
        <v>#REF!</v>
      </c>
      <c r="G91" s="440" t="e">
        <f t="shared" ca="1" si="4"/>
        <v>#REF!</v>
      </c>
    </row>
    <row r="92" spans="2:7" x14ac:dyDescent="0.2">
      <c r="B92" s="6">
        <f t="shared" si="0"/>
        <v>20</v>
      </c>
      <c r="C92" s="6">
        <f t="shared" si="5"/>
        <v>20</v>
      </c>
      <c r="D92" s="440" t="e">
        <f t="shared" si="1"/>
        <v>#DIV/0!</v>
      </c>
      <c r="E92" s="440" t="e">
        <f t="shared" ca="1" si="2"/>
        <v>#REF!</v>
      </c>
      <c r="F92" s="440" t="e">
        <f t="shared" ca="1" si="3"/>
        <v>#REF!</v>
      </c>
      <c r="G92" s="440" t="e">
        <f t="shared" ca="1" si="4"/>
        <v>#REF!</v>
      </c>
    </row>
    <row r="93" spans="2:7" x14ac:dyDescent="0.2">
      <c r="B93" s="6">
        <f t="shared" si="0"/>
        <v>21</v>
      </c>
      <c r="C93" s="6" t="str">
        <f t="shared" si="5"/>
        <v/>
      </c>
      <c r="D93" s="440" t="e">
        <f t="shared" si="1"/>
        <v>#DIV/0!</v>
      </c>
      <c r="E93" s="440" t="e">
        <f t="shared" ca="1" si="2"/>
        <v>#REF!</v>
      </c>
      <c r="F93" s="440" t="e">
        <f t="shared" ca="1" si="3"/>
        <v>#REF!</v>
      </c>
      <c r="G93" s="440" t="e">
        <f t="shared" ca="1" si="4"/>
        <v>#REF!</v>
      </c>
    </row>
    <row r="94" spans="2:7" x14ac:dyDescent="0.2">
      <c r="B94" s="6">
        <f t="shared" si="0"/>
        <v>22</v>
      </c>
      <c r="C94" s="6" t="str">
        <f t="shared" si="5"/>
        <v/>
      </c>
      <c r="D94" s="440" t="e">
        <f t="shared" si="1"/>
        <v>#DIV/0!</v>
      </c>
      <c r="E94" s="440" t="e">
        <f t="shared" ca="1" si="2"/>
        <v>#REF!</v>
      </c>
      <c r="F94" s="440" t="e">
        <f t="shared" ca="1" si="3"/>
        <v>#REF!</v>
      </c>
      <c r="G94" s="440" t="e">
        <f t="shared" ca="1" si="4"/>
        <v>#REF!</v>
      </c>
    </row>
    <row r="95" spans="2:7" x14ac:dyDescent="0.2">
      <c r="B95" s="6">
        <f t="shared" si="0"/>
        <v>23</v>
      </c>
      <c r="C95" s="6" t="str">
        <f t="shared" si="5"/>
        <v/>
      </c>
      <c r="D95" s="440" t="e">
        <f t="shared" si="1"/>
        <v>#DIV/0!</v>
      </c>
      <c r="E95" s="440" t="e">
        <f t="shared" ca="1" si="2"/>
        <v>#REF!</v>
      </c>
      <c r="F95" s="440" t="e">
        <f t="shared" ca="1" si="3"/>
        <v>#REF!</v>
      </c>
      <c r="G95" s="440" t="e">
        <f t="shared" ca="1" si="4"/>
        <v>#REF!</v>
      </c>
    </row>
    <row r="96" spans="2:7" x14ac:dyDescent="0.2">
      <c r="B96" s="6">
        <f t="shared" si="0"/>
        <v>24</v>
      </c>
      <c r="C96" s="6" t="str">
        <f t="shared" si="5"/>
        <v/>
      </c>
      <c r="D96" s="440" t="e">
        <f t="shared" si="1"/>
        <v>#DIV/0!</v>
      </c>
      <c r="E96" s="440" t="e">
        <f t="shared" ca="1" si="2"/>
        <v>#REF!</v>
      </c>
      <c r="F96" s="440" t="e">
        <f t="shared" ca="1" si="3"/>
        <v>#REF!</v>
      </c>
      <c r="G96" s="440" t="e">
        <f t="shared" ca="1" si="4"/>
        <v>#REF!</v>
      </c>
    </row>
    <row r="97" spans="2:12" x14ac:dyDescent="0.2">
      <c r="B97" s="6">
        <f t="shared" si="0"/>
        <v>25</v>
      </c>
      <c r="C97" s="6">
        <f t="shared" si="5"/>
        <v>25</v>
      </c>
      <c r="D97" s="440" t="e">
        <f t="shared" si="1"/>
        <v>#DIV/0!</v>
      </c>
      <c r="E97" s="440" t="e">
        <f t="shared" ca="1" si="2"/>
        <v>#REF!</v>
      </c>
      <c r="F97" s="440" t="e">
        <f t="shared" ca="1" si="3"/>
        <v>#REF!</v>
      </c>
      <c r="G97" s="440" t="e">
        <f t="shared" ca="1" si="4"/>
        <v>#REF!</v>
      </c>
    </row>
    <row r="98" spans="2:12" x14ac:dyDescent="0.2">
      <c r="B98" s="6">
        <f t="shared" si="0"/>
        <v>26</v>
      </c>
      <c r="C98" s="6" t="str">
        <f t="shared" si="5"/>
        <v/>
      </c>
      <c r="D98" s="440" t="e">
        <f t="shared" si="1"/>
        <v>#DIV/0!</v>
      </c>
      <c r="E98" s="440" t="e">
        <f t="shared" ca="1" si="2"/>
        <v>#REF!</v>
      </c>
      <c r="F98" s="440" t="e">
        <f t="shared" ca="1" si="3"/>
        <v>#REF!</v>
      </c>
      <c r="G98" s="440" t="e">
        <f t="shared" ca="1" si="4"/>
        <v>#REF!</v>
      </c>
    </row>
    <row r="99" spans="2:12" x14ac:dyDescent="0.2">
      <c r="B99" s="6">
        <f t="shared" si="0"/>
        <v>27</v>
      </c>
      <c r="C99" s="6" t="str">
        <f t="shared" si="5"/>
        <v/>
      </c>
      <c r="D99" s="440" t="e">
        <f t="shared" si="1"/>
        <v>#DIV/0!</v>
      </c>
      <c r="E99" s="440" t="e">
        <f t="shared" ca="1" si="2"/>
        <v>#REF!</v>
      </c>
      <c r="F99" s="440" t="e">
        <f t="shared" ca="1" si="3"/>
        <v>#REF!</v>
      </c>
      <c r="G99" s="440" t="e">
        <f t="shared" ca="1" si="4"/>
        <v>#REF!</v>
      </c>
    </row>
    <row r="100" spans="2:12" x14ac:dyDescent="0.2">
      <c r="B100" s="6">
        <f t="shared" si="0"/>
        <v>28</v>
      </c>
      <c r="C100" s="6" t="str">
        <f t="shared" si="5"/>
        <v/>
      </c>
      <c r="D100" s="440" t="e">
        <f t="shared" si="1"/>
        <v>#DIV/0!</v>
      </c>
      <c r="E100" s="440" t="e">
        <f t="shared" ca="1" si="2"/>
        <v>#REF!</v>
      </c>
      <c r="F100" s="440" t="e">
        <f t="shared" ca="1" si="3"/>
        <v>#REF!</v>
      </c>
      <c r="G100" s="440" t="e">
        <f t="shared" ca="1" si="4"/>
        <v>#REF!</v>
      </c>
    </row>
    <row r="101" spans="2:12" x14ac:dyDescent="0.2">
      <c r="B101" s="6">
        <f t="shared" si="0"/>
        <v>29</v>
      </c>
      <c r="C101" s="6" t="str">
        <f t="shared" si="5"/>
        <v/>
      </c>
      <c r="D101" s="440" t="e">
        <f t="shared" si="1"/>
        <v>#DIV/0!</v>
      </c>
      <c r="E101" s="440" t="e">
        <f t="shared" ca="1" si="2"/>
        <v>#REF!</v>
      </c>
      <c r="F101" s="440" t="e">
        <f t="shared" ca="1" si="3"/>
        <v>#REF!</v>
      </c>
      <c r="G101" s="440" t="e">
        <f t="shared" ca="1" si="4"/>
        <v>#REF!</v>
      </c>
      <c r="L101" s="448"/>
    </row>
  </sheetData>
  <sheetProtection sheet="1" objects="1" scenarios="1" selectLockedCells="1"/>
  <mergeCells count="6">
    <mergeCell ref="D6:F6"/>
    <mergeCell ref="M1:O1"/>
    <mergeCell ref="C2:E2"/>
    <mergeCell ref="F2:G2"/>
    <mergeCell ref="F3:G4"/>
    <mergeCell ref="F5:G5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799"/>
  <sheetViews>
    <sheetView zoomScale="95" zoomScaleNormal="95" workbookViewId="0">
      <selection activeCell="B9" sqref="B9"/>
    </sheetView>
  </sheetViews>
  <sheetFormatPr baseColWidth="10" defaultColWidth="11.5703125" defaultRowHeight="12.75" customHeight="1" x14ac:dyDescent="0.2"/>
  <cols>
    <col min="1" max="1" width="40.85546875" style="449" customWidth="1"/>
    <col min="2" max="2" width="35.7109375" style="450" customWidth="1"/>
    <col min="3" max="3" width="20.42578125" style="450" customWidth="1"/>
    <col min="4" max="4" width="12.7109375" style="450" customWidth="1"/>
    <col min="5" max="5" width="10.28515625" style="450" customWidth="1"/>
    <col min="6" max="6" width="12.7109375" style="450" customWidth="1"/>
    <col min="7" max="7" width="12.7109375" style="451" customWidth="1"/>
    <col min="8" max="8" width="43.42578125" style="452" customWidth="1"/>
    <col min="9" max="9" width="15.28515625" style="452" customWidth="1"/>
    <col min="10" max="10" width="15.28515625" style="453" customWidth="1"/>
    <col min="11" max="11" width="16.140625" style="453" customWidth="1"/>
    <col min="12" max="12" width="15.28515625" style="454" customWidth="1"/>
    <col min="13" max="17" width="15.28515625" style="455" customWidth="1"/>
    <col min="18" max="19" width="15.28515625" style="454" customWidth="1"/>
    <col min="20" max="22" width="15.28515625" style="456" customWidth="1"/>
    <col min="31" max="16384" width="11.5703125" style="450"/>
  </cols>
  <sheetData>
    <row r="1" spans="1:22" s="458" customFormat="1" ht="22.5" customHeight="1" x14ac:dyDescent="0.2">
      <c r="A1" s="457" t="s">
        <v>448</v>
      </c>
      <c r="C1" s="459"/>
      <c r="D1" s="460" t="s">
        <v>7</v>
      </c>
      <c r="E1" s="461"/>
      <c r="F1" s="462" t="s">
        <v>449</v>
      </c>
      <c r="G1" s="463"/>
      <c r="H1" s="464"/>
      <c r="I1" s="465" t="s">
        <v>450</v>
      </c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725"/>
      <c r="U1" s="725"/>
      <c r="V1" s="725"/>
    </row>
    <row r="2" spans="1:22" s="468" customFormat="1" ht="27.75" customHeight="1" x14ac:dyDescent="0.2">
      <c r="A2" s="467"/>
      <c r="C2" s="469" t="s">
        <v>175</v>
      </c>
      <c r="D2" s="470" t="s">
        <v>451</v>
      </c>
      <c r="E2" s="471" t="s">
        <v>452</v>
      </c>
      <c r="F2" s="470" t="s">
        <v>451</v>
      </c>
      <c r="G2" s="472" t="s">
        <v>453</v>
      </c>
      <c r="H2" s="473" t="s">
        <v>454</v>
      </c>
      <c r="I2" s="474" t="s">
        <v>455</v>
      </c>
      <c r="J2" s="475"/>
      <c r="K2" s="475"/>
      <c r="L2" s="475"/>
      <c r="M2" s="476"/>
      <c r="N2" s="476"/>
      <c r="O2" s="476"/>
      <c r="P2" s="476"/>
      <c r="Q2" s="477"/>
      <c r="R2" s="475"/>
      <c r="S2" s="475"/>
      <c r="T2" s="478"/>
      <c r="U2" s="452"/>
      <c r="V2" s="474"/>
    </row>
    <row r="3" spans="1:22" s="468" customFormat="1" ht="27.75" customHeight="1" x14ac:dyDescent="0.2">
      <c r="A3" s="479" t="s">
        <v>4</v>
      </c>
      <c r="B3" s="480"/>
      <c r="C3" s="481"/>
      <c r="D3" s="481"/>
      <c r="E3" s="481"/>
      <c r="F3" s="481"/>
      <c r="G3" s="481"/>
      <c r="H3" s="481" t="s">
        <v>456</v>
      </c>
      <c r="I3" s="481"/>
      <c r="J3" s="482"/>
      <c r="K3" s="482"/>
      <c r="L3" s="483"/>
      <c r="M3" s="484"/>
      <c r="N3" s="484"/>
      <c r="O3" s="484"/>
      <c r="P3" s="484"/>
      <c r="Q3" s="484"/>
      <c r="R3" s="483"/>
      <c r="S3" s="483"/>
      <c r="T3" s="482"/>
      <c r="U3" s="482"/>
      <c r="V3" s="482"/>
    </row>
    <row r="4" spans="1:22" s="468" customFormat="1" ht="23.25" customHeight="1" x14ac:dyDescent="0.2">
      <c r="A4" s="485" t="s">
        <v>47</v>
      </c>
      <c r="B4" s="486"/>
      <c r="C4" s="487"/>
      <c r="D4" s="726" t="s">
        <v>457</v>
      </c>
      <c r="E4" s="726"/>
      <c r="F4" s="726"/>
      <c r="G4" s="488"/>
      <c r="H4" s="452" t="s">
        <v>458</v>
      </c>
      <c r="I4" s="452"/>
      <c r="J4" s="452"/>
      <c r="K4" s="489"/>
      <c r="L4" s="489"/>
      <c r="M4" s="477"/>
      <c r="N4" s="477"/>
      <c r="O4" s="477"/>
      <c r="P4" s="477"/>
      <c r="Q4" s="477"/>
      <c r="R4" s="490"/>
      <c r="S4" s="490"/>
      <c r="T4" s="456"/>
      <c r="U4" s="456"/>
      <c r="V4" s="456"/>
    </row>
    <row r="5" spans="1:22" s="468" customFormat="1" x14ac:dyDescent="0.2">
      <c r="A5" s="486" t="s">
        <v>12</v>
      </c>
      <c r="B5" s="491" t="str">
        <f>'Data-Liste'!E3</f>
        <v>Individuels</v>
      </c>
      <c r="C5" s="487" t="s">
        <v>459</v>
      </c>
      <c r="D5" s="492">
        <v>550</v>
      </c>
      <c r="E5" s="487">
        <v>0.5</v>
      </c>
      <c r="F5" s="487">
        <f t="shared" ref="F5:F12" si="0">D5*E5</f>
        <v>275</v>
      </c>
      <c r="G5" s="488"/>
      <c r="H5" s="452" t="s">
        <v>460</v>
      </c>
      <c r="I5" s="452"/>
      <c r="J5" s="475"/>
      <c r="K5" s="489"/>
      <c r="L5" s="489"/>
      <c r="M5" s="477"/>
      <c r="N5" s="477"/>
      <c r="O5" s="477"/>
      <c r="P5" s="477"/>
      <c r="Q5" s="477"/>
      <c r="R5" s="490"/>
      <c r="S5" s="490"/>
      <c r="T5" s="456"/>
      <c r="U5" s="456"/>
      <c r="V5" s="456"/>
    </row>
    <row r="6" spans="1:22" s="468" customFormat="1" x14ac:dyDescent="0.2">
      <c r="A6" s="467"/>
      <c r="B6" s="491" t="str">
        <f>'Data-Liste'!E4</f>
        <v>Semi-collectifs</v>
      </c>
      <c r="C6" s="487" t="s">
        <v>459</v>
      </c>
      <c r="D6" s="492">
        <f>(D5+D7)/2</f>
        <v>625</v>
      </c>
      <c r="E6" s="487">
        <f t="shared" ref="E6:E12" si="1">E$5</f>
        <v>0.5</v>
      </c>
      <c r="F6" s="487">
        <f t="shared" si="0"/>
        <v>312.5</v>
      </c>
      <c r="G6" s="488"/>
      <c r="H6" s="452"/>
      <c r="I6" s="452"/>
      <c r="J6" s="475"/>
      <c r="K6" s="489"/>
      <c r="L6" s="489"/>
      <c r="M6" s="477"/>
      <c r="N6" s="477"/>
      <c r="O6" s="477"/>
      <c r="P6" s="477"/>
      <c r="Q6" s="477"/>
      <c r="R6" s="490"/>
      <c r="S6" s="490"/>
      <c r="T6" s="456"/>
      <c r="U6" s="456"/>
      <c r="V6" s="456"/>
    </row>
    <row r="7" spans="1:22" s="468" customFormat="1" x14ac:dyDescent="0.2">
      <c r="A7" s="467"/>
      <c r="B7" s="491" t="str">
        <f>'Data-Liste'!E5</f>
        <v>Collectifs</v>
      </c>
      <c r="C7" s="487" t="s">
        <v>459</v>
      </c>
      <c r="D7" s="492">
        <v>700</v>
      </c>
      <c r="E7" s="487">
        <f t="shared" si="1"/>
        <v>0.5</v>
      </c>
      <c r="F7" s="487">
        <f t="shared" si="0"/>
        <v>350</v>
      </c>
      <c r="G7" s="488"/>
      <c r="H7" s="452" t="s">
        <v>461</v>
      </c>
      <c r="I7" s="452"/>
      <c r="J7" s="475"/>
      <c r="K7" s="489"/>
      <c r="L7" s="489"/>
      <c r="M7" s="477"/>
      <c r="N7" s="477"/>
      <c r="O7" s="477"/>
      <c r="P7" s="477"/>
      <c r="Q7" s="477"/>
      <c r="R7" s="490"/>
      <c r="S7" s="490"/>
      <c r="T7" s="456"/>
      <c r="U7" s="456"/>
      <c r="V7" s="456"/>
    </row>
    <row r="8" spans="1:22" s="468" customFormat="1" x14ac:dyDescent="0.2">
      <c r="A8" s="491" t="s">
        <v>15</v>
      </c>
      <c r="B8" s="491" t="str">
        <f>'Data-Liste'!F3</f>
        <v>Bureaux</v>
      </c>
      <c r="C8" s="487" t="s">
        <v>459</v>
      </c>
      <c r="D8" s="487">
        <v>870</v>
      </c>
      <c r="E8" s="487">
        <f t="shared" si="1"/>
        <v>0.5</v>
      </c>
      <c r="F8" s="487">
        <f t="shared" si="0"/>
        <v>435</v>
      </c>
      <c r="G8" s="488"/>
      <c r="H8" s="452" t="s">
        <v>462</v>
      </c>
      <c r="I8" s="452"/>
      <c r="J8" s="475"/>
      <c r="K8" s="489"/>
      <c r="L8" s="489"/>
      <c r="M8" s="477"/>
      <c r="N8" s="477"/>
      <c r="O8" s="477"/>
      <c r="P8" s="477"/>
      <c r="Q8" s="477"/>
      <c r="R8" s="490"/>
      <c r="S8" s="490"/>
      <c r="T8" s="456"/>
      <c r="U8" s="456"/>
      <c r="V8" s="456"/>
    </row>
    <row r="9" spans="1:22" s="468" customFormat="1" x14ac:dyDescent="0.2">
      <c r="A9" s="449"/>
      <c r="B9" s="491" t="str">
        <f>'Data-Liste'!F4</f>
        <v>Enseignement scolaire</v>
      </c>
      <c r="C9" s="487" t="s">
        <v>459</v>
      </c>
      <c r="D9" s="487">
        <v>800</v>
      </c>
      <c r="E9" s="487">
        <f t="shared" si="1"/>
        <v>0.5</v>
      </c>
      <c r="F9" s="487">
        <f t="shared" si="0"/>
        <v>400</v>
      </c>
      <c r="G9" s="488"/>
      <c r="H9" s="452" t="s">
        <v>463</v>
      </c>
      <c r="I9" s="452"/>
      <c r="J9" s="475"/>
      <c r="K9" s="489"/>
      <c r="L9" s="489"/>
      <c r="M9" s="477"/>
      <c r="N9" s="477"/>
      <c r="O9" s="477"/>
      <c r="P9" s="477"/>
      <c r="Q9" s="477"/>
      <c r="R9" s="490"/>
      <c r="S9" s="490"/>
      <c r="T9" s="456"/>
      <c r="U9" s="456"/>
      <c r="V9" s="456"/>
    </row>
    <row r="10" spans="1:22" s="468" customFormat="1" x14ac:dyDescent="0.2">
      <c r="A10" s="449"/>
      <c r="B10" s="491" t="str">
        <f>'Data-Liste'!F5</f>
        <v>Enseignement supérieur</v>
      </c>
      <c r="C10" s="487" t="s">
        <v>459</v>
      </c>
      <c r="D10" s="487">
        <v>850</v>
      </c>
      <c r="E10" s="487">
        <f t="shared" si="1"/>
        <v>0.5</v>
      </c>
      <c r="F10" s="487">
        <f t="shared" si="0"/>
        <v>425</v>
      </c>
      <c r="G10" s="488"/>
      <c r="H10" s="452" t="s">
        <v>464</v>
      </c>
      <c r="I10" s="452"/>
      <c r="J10" s="475"/>
      <c r="K10" s="489"/>
      <c r="L10" s="489"/>
      <c r="M10" s="477"/>
      <c r="N10" s="477"/>
      <c r="O10" s="477"/>
      <c r="P10" s="477"/>
      <c r="Q10" s="477"/>
      <c r="R10" s="490"/>
      <c r="S10" s="490"/>
      <c r="T10" s="456"/>
      <c r="U10" s="456"/>
      <c r="V10" s="456"/>
    </row>
    <row r="11" spans="1:22" s="468" customFormat="1" x14ac:dyDescent="0.2">
      <c r="A11" s="449"/>
      <c r="B11" s="491" t="str">
        <f>'Data-Liste'!F6</f>
        <v>Autre tertiaire (petit commerce)</v>
      </c>
      <c r="C11" s="487" t="s">
        <v>459</v>
      </c>
      <c r="D11" s="487">
        <v>750</v>
      </c>
      <c r="E11" s="487">
        <f t="shared" si="1"/>
        <v>0.5</v>
      </c>
      <c r="F11" s="487">
        <f t="shared" si="0"/>
        <v>375</v>
      </c>
      <c r="G11" s="488"/>
      <c r="H11" s="452" t="s">
        <v>465</v>
      </c>
      <c r="I11" s="452"/>
      <c r="J11" s="475"/>
      <c r="K11" s="489"/>
      <c r="L11" s="489"/>
      <c r="M11" s="477"/>
      <c r="N11" s="477"/>
      <c r="O11" s="477"/>
      <c r="P11" s="477"/>
      <c r="Q11" s="477"/>
      <c r="R11" s="490"/>
      <c r="S11" s="490"/>
      <c r="T11" s="456"/>
      <c r="U11" s="456"/>
      <c r="V11" s="456"/>
    </row>
    <row r="12" spans="1:22" s="468" customFormat="1" x14ac:dyDescent="0.2">
      <c r="A12" s="449"/>
      <c r="B12" s="491" t="str">
        <f>'Data-Liste'!F7</f>
        <v>Inconnu (livré en blanc)</v>
      </c>
      <c r="C12" s="487" t="s">
        <v>459</v>
      </c>
      <c r="D12" s="487">
        <v>800</v>
      </c>
      <c r="E12" s="487">
        <f t="shared" si="1"/>
        <v>0.5</v>
      </c>
      <c r="F12" s="487">
        <f t="shared" si="0"/>
        <v>400</v>
      </c>
      <c r="G12" s="488"/>
      <c r="H12" s="452"/>
      <c r="I12" s="452"/>
      <c r="J12" s="475"/>
      <c r="K12" s="489"/>
      <c r="L12" s="489"/>
      <c r="M12" s="477"/>
      <c r="N12" s="477"/>
      <c r="O12" s="477"/>
      <c r="P12" s="477"/>
      <c r="Q12" s="477"/>
      <c r="R12" s="490"/>
      <c r="S12" s="490"/>
      <c r="T12" s="456"/>
      <c r="U12" s="456"/>
      <c r="V12" s="456"/>
    </row>
    <row r="13" spans="1:22" s="468" customFormat="1" x14ac:dyDescent="0.2">
      <c r="A13" s="491" t="s">
        <v>466</v>
      </c>
      <c r="B13" s="491" t="s">
        <v>467</v>
      </c>
      <c r="C13" s="487" t="s">
        <v>459</v>
      </c>
      <c r="D13" s="487">
        <v>50</v>
      </c>
      <c r="E13" s="487"/>
      <c r="F13" s="487"/>
      <c r="G13" s="488"/>
      <c r="H13" s="452" t="s">
        <v>468</v>
      </c>
      <c r="I13" s="452"/>
      <c r="J13" s="475"/>
      <c r="K13" s="489"/>
      <c r="L13" s="489"/>
      <c r="M13" s="477"/>
      <c r="N13" s="477"/>
      <c r="O13" s="477"/>
      <c r="P13" s="477"/>
      <c r="Q13" s="477"/>
      <c r="R13" s="490"/>
      <c r="S13" s="490"/>
      <c r="T13" s="456"/>
      <c r="U13" s="456"/>
      <c r="V13" s="456"/>
    </row>
    <row r="14" spans="1:22" x14ac:dyDescent="0.2">
      <c r="A14" s="449" t="s">
        <v>469</v>
      </c>
      <c r="B14" s="491"/>
      <c r="C14" s="487"/>
      <c r="D14" s="492"/>
      <c r="E14" s="487"/>
      <c r="F14" s="487"/>
      <c r="G14" s="488"/>
      <c r="H14" s="452" t="s">
        <v>470</v>
      </c>
      <c r="J14" s="475"/>
      <c r="K14" s="489"/>
      <c r="L14" s="490"/>
      <c r="M14" s="477"/>
      <c r="N14" s="477"/>
      <c r="O14" s="477"/>
      <c r="P14" s="477"/>
      <c r="Q14" s="477"/>
      <c r="R14" s="490"/>
      <c r="S14" s="490"/>
    </row>
    <row r="15" spans="1:22" x14ac:dyDescent="0.2">
      <c r="B15" s="491" t="s">
        <v>471</v>
      </c>
      <c r="C15" s="487" t="s">
        <v>472</v>
      </c>
      <c r="D15" s="492">
        <v>1500</v>
      </c>
      <c r="E15" s="487"/>
      <c r="F15" s="487" t="s">
        <v>473</v>
      </c>
      <c r="G15" s="488"/>
      <c r="H15" s="452" t="s">
        <v>474</v>
      </c>
      <c r="J15" s="475"/>
      <c r="K15" s="489"/>
      <c r="L15" s="490"/>
      <c r="M15" s="477"/>
      <c r="N15" s="477"/>
      <c r="O15" s="477"/>
      <c r="P15" s="477"/>
      <c r="Q15" s="477"/>
      <c r="R15" s="490"/>
      <c r="S15" s="490"/>
    </row>
    <row r="16" spans="1:22" ht="12.75" customHeight="1" x14ac:dyDescent="0.2">
      <c r="B16" s="491" t="s">
        <v>475</v>
      </c>
      <c r="C16" s="487" t="s">
        <v>472</v>
      </c>
      <c r="D16" s="492">
        <v>8000</v>
      </c>
      <c r="E16" s="487"/>
      <c r="F16" s="487" t="s">
        <v>473</v>
      </c>
      <c r="G16" s="488"/>
      <c r="H16" s="452" t="s">
        <v>476</v>
      </c>
      <c r="J16" s="475"/>
      <c r="K16" s="489"/>
      <c r="L16" s="490"/>
      <c r="M16" s="477"/>
      <c r="N16" s="477"/>
      <c r="O16" s="477"/>
      <c r="P16" s="477"/>
      <c r="Q16" s="477"/>
      <c r="R16" s="490"/>
      <c r="S16" s="490"/>
    </row>
    <row r="17" spans="1:19" x14ac:dyDescent="0.2">
      <c r="A17" s="449" t="s">
        <v>477</v>
      </c>
      <c r="B17" s="486" t="s">
        <v>42</v>
      </c>
      <c r="C17" s="487"/>
      <c r="D17" s="487">
        <v>1</v>
      </c>
      <c r="E17" s="487"/>
      <c r="F17" s="487">
        <v>1</v>
      </c>
      <c r="G17" s="488"/>
      <c r="J17" s="475"/>
      <c r="K17" s="489"/>
      <c r="L17" s="490"/>
      <c r="M17" s="477"/>
      <c r="N17" s="477"/>
      <c r="O17" s="477"/>
      <c r="P17" s="477"/>
      <c r="Q17" s="477"/>
      <c r="R17" s="490"/>
      <c r="S17" s="490"/>
    </row>
    <row r="18" spans="1:19" x14ac:dyDescent="0.2">
      <c r="B18" s="491" t="str">
        <f>'Data-Liste'!D3</f>
        <v>Sans volonté</v>
      </c>
      <c r="C18" s="487" t="s">
        <v>478</v>
      </c>
      <c r="D18" s="487">
        <v>1</v>
      </c>
      <c r="E18" s="487"/>
      <c r="F18" s="487">
        <v>1</v>
      </c>
      <c r="G18" s="488"/>
      <c r="J18" s="475"/>
      <c r="K18" s="452"/>
      <c r="L18" s="490"/>
      <c r="M18" s="477"/>
      <c r="N18" s="477"/>
      <c r="O18" s="477"/>
      <c r="P18" s="477"/>
      <c r="Q18" s="477"/>
      <c r="R18" s="490"/>
      <c r="S18" s="490"/>
    </row>
    <row r="19" spans="1:19" x14ac:dyDescent="0.2">
      <c r="B19" s="491" t="str">
        <f>'Data-Liste'!D4</f>
        <v>Ambition modeste</v>
      </c>
      <c r="C19" s="487" t="s">
        <v>478</v>
      </c>
      <c r="D19" s="487">
        <v>0.9</v>
      </c>
      <c r="E19" s="487"/>
      <c r="F19" s="487">
        <v>0.9</v>
      </c>
      <c r="G19" s="488"/>
      <c r="H19" s="452" t="s">
        <v>479</v>
      </c>
      <c r="J19" s="475"/>
      <c r="K19" s="452"/>
      <c r="L19" s="490"/>
      <c r="M19" s="477"/>
      <c r="N19" s="477"/>
      <c r="O19" s="477"/>
      <c r="P19" s="477"/>
      <c r="Q19" s="477"/>
      <c r="R19" s="490"/>
      <c r="S19" s="490"/>
    </row>
    <row r="20" spans="1:19" x14ac:dyDescent="0.2">
      <c r="B20" s="491" t="str">
        <f>'Data-Liste'!D5</f>
        <v>Ambition modérée</v>
      </c>
      <c r="C20" s="487" t="s">
        <v>478</v>
      </c>
      <c r="D20" s="487">
        <v>0.75</v>
      </c>
      <c r="E20" s="487"/>
      <c r="F20" s="487">
        <v>0.75</v>
      </c>
      <c r="G20" s="488"/>
      <c r="H20" s="452" t="s">
        <v>479</v>
      </c>
      <c r="J20" s="475"/>
      <c r="K20" s="452"/>
      <c r="L20" s="490"/>
      <c r="M20" s="477"/>
      <c r="N20" s="477"/>
      <c r="O20" s="477"/>
      <c r="P20" s="477"/>
      <c r="Q20" s="477"/>
      <c r="R20" s="490"/>
      <c r="S20" s="490"/>
    </row>
    <row r="21" spans="1:19" x14ac:dyDescent="0.2">
      <c r="B21" s="491" t="str">
        <f>'Data-Liste'!D6</f>
        <v>Ambition forte</v>
      </c>
      <c r="C21" s="487" t="s">
        <v>478</v>
      </c>
      <c r="D21" s="487">
        <v>0.5</v>
      </c>
      <c r="E21" s="487"/>
      <c r="F21" s="487">
        <v>0.5</v>
      </c>
      <c r="G21" s="488"/>
      <c r="H21" s="452" t="s">
        <v>479</v>
      </c>
      <c r="J21" s="475"/>
      <c r="K21" s="452"/>
      <c r="L21" s="490"/>
      <c r="M21" s="477"/>
      <c r="N21" s="477"/>
      <c r="O21" s="477"/>
      <c r="P21" s="477"/>
      <c r="Q21" s="477"/>
      <c r="R21" s="490"/>
      <c r="S21" s="490"/>
    </row>
    <row r="22" spans="1:19" x14ac:dyDescent="0.2">
      <c r="A22" s="449" t="s">
        <v>480</v>
      </c>
      <c r="B22" s="491" t="s">
        <v>481</v>
      </c>
      <c r="C22" s="487" t="s">
        <v>482</v>
      </c>
      <c r="D22" s="727">
        <v>30</v>
      </c>
      <c r="E22" s="727"/>
      <c r="F22" s="727"/>
      <c r="G22" s="488"/>
      <c r="J22" s="475"/>
      <c r="K22" s="452"/>
      <c r="L22" s="490"/>
      <c r="M22" s="477"/>
      <c r="N22" s="477"/>
      <c r="O22" s="477"/>
      <c r="P22" s="477"/>
      <c r="Q22" s="477"/>
      <c r="R22" s="490"/>
      <c r="S22" s="490"/>
    </row>
    <row r="23" spans="1:19" x14ac:dyDescent="0.2">
      <c r="B23" s="491" t="s">
        <v>483</v>
      </c>
      <c r="C23" s="487" t="s">
        <v>459</v>
      </c>
      <c r="D23" s="728">
        <v>150</v>
      </c>
      <c r="E23" s="728"/>
      <c r="F23" s="728"/>
      <c r="G23" s="488"/>
      <c r="J23" s="475"/>
      <c r="K23" s="452"/>
      <c r="L23" s="490"/>
      <c r="M23" s="477"/>
      <c r="N23" s="477"/>
      <c r="O23" s="477"/>
      <c r="P23" s="477"/>
      <c r="Q23" s="477"/>
      <c r="R23" s="490"/>
      <c r="S23" s="490"/>
    </row>
    <row r="24" spans="1:19" x14ac:dyDescent="0.2">
      <c r="B24" s="491" t="s">
        <v>484</v>
      </c>
      <c r="C24" s="487" t="s">
        <v>459</v>
      </c>
      <c r="D24" s="728">
        <v>900</v>
      </c>
      <c r="E24" s="728"/>
      <c r="F24" s="728"/>
      <c r="G24" s="488"/>
      <c r="I24" s="452" t="s">
        <v>485</v>
      </c>
      <c r="J24" s="475"/>
      <c r="K24" s="452"/>
      <c r="L24" s="452" t="s">
        <v>485</v>
      </c>
      <c r="M24" s="477"/>
      <c r="N24" s="477"/>
      <c r="O24" s="477"/>
      <c r="P24" s="477"/>
      <c r="Q24" s="477"/>
      <c r="R24" s="490"/>
      <c r="S24" s="490"/>
    </row>
    <row r="25" spans="1:19" ht="12.75" customHeight="1" x14ac:dyDescent="0.2">
      <c r="A25" s="485" t="s">
        <v>56</v>
      </c>
      <c r="B25" s="486"/>
      <c r="C25" s="487"/>
      <c r="D25" s="495"/>
      <c r="E25" s="493"/>
      <c r="F25" s="493"/>
      <c r="G25" s="488"/>
      <c r="I25" s="729" t="s">
        <v>486</v>
      </c>
      <c r="J25" s="729"/>
      <c r="K25" s="729"/>
      <c r="L25" s="729" t="s">
        <v>487</v>
      </c>
      <c r="M25" s="729"/>
      <c r="N25" s="729"/>
      <c r="O25" s="477"/>
      <c r="P25" s="477"/>
      <c r="Q25" s="477"/>
      <c r="R25" s="490"/>
      <c r="S25" s="490"/>
    </row>
    <row r="26" spans="1:19" x14ac:dyDescent="0.2">
      <c r="A26" s="485" t="s">
        <v>12</v>
      </c>
      <c r="B26" s="486"/>
      <c r="C26" s="487"/>
      <c r="D26" s="495"/>
      <c r="E26" s="493"/>
      <c r="F26" s="493"/>
      <c r="G26" s="488"/>
      <c r="I26" s="496" t="s">
        <v>488</v>
      </c>
      <c r="J26" s="497" t="s">
        <v>489</v>
      </c>
      <c r="K26" s="498" t="s">
        <v>490</v>
      </c>
      <c r="L26" s="496" t="s">
        <v>488</v>
      </c>
      <c r="M26" s="497" t="s">
        <v>489</v>
      </c>
      <c r="N26" s="498" t="s">
        <v>490</v>
      </c>
      <c r="O26" s="477"/>
      <c r="P26" s="477"/>
      <c r="Q26" s="477"/>
      <c r="R26" s="490"/>
      <c r="S26" s="490"/>
    </row>
    <row r="27" spans="1:19" x14ac:dyDescent="0.2">
      <c r="A27" s="449" t="s">
        <v>491</v>
      </c>
      <c r="B27" s="486" t="s">
        <v>42</v>
      </c>
      <c r="C27" s="487"/>
      <c r="D27" s="492">
        <f>D28</f>
        <v>40</v>
      </c>
      <c r="E27" s="487"/>
      <c r="F27" s="492">
        <f>F28</f>
        <v>40</v>
      </c>
      <c r="G27" s="488"/>
      <c r="I27" s="499"/>
      <c r="J27" s="475"/>
      <c r="K27" s="500"/>
      <c r="L27" s="499"/>
      <c r="M27" s="475"/>
      <c r="N27" s="500"/>
      <c r="O27" s="477"/>
      <c r="P27" s="477"/>
      <c r="Q27" s="477"/>
      <c r="R27" s="490"/>
      <c r="S27" s="490"/>
    </row>
    <row r="28" spans="1:19" x14ac:dyDescent="0.2">
      <c r="B28" s="491" t="str">
        <f>'Data-Liste'!M3</f>
        <v>RTAA</v>
      </c>
      <c r="C28" s="487" t="s">
        <v>492</v>
      </c>
      <c r="D28" s="492">
        <f>IF(PROJET!C$39='Data-Liste'!L$5,K28,IF(PROJET!C$39='Data-Liste'!L$4,J28,I28))</f>
        <v>40</v>
      </c>
      <c r="E28" s="487"/>
      <c r="F28" s="492">
        <f>IF(PROJET!D$39='Data-Liste'!L$5,N28,IF(PROJET!D$39='Data-Liste'!L$4,M28,L28))</f>
        <v>40</v>
      </c>
      <c r="G28" s="488"/>
      <c r="I28" s="499">
        <v>40</v>
      </c>
      <c r="J28" s="475">
        <v>51</v>
      </c>
      <c r="K28" s="500">
        <v>40</v>
      </c>
      <c r="L28" s="501">
        <v>40</v>
      </c>
      <c r="M28" s="490">
        <v>51</v>
      </c>
      <c r="N28" s="502">
        <v>40</v>
      </c>
      <c r="O28" s="477"/>
      <c r="P28" s="477"/>
      <c r="Q28" s="477"/>
      <c r="R28" s="490"/>
      <c r="S28" s="490"/>
    </row>
    <row r="29" spans="1:19" x14ac:dyDescent="0.2">
      <c r="B29" s="491" t="str">
        <f>'Data-Liste'!M4</f>
        <v>NF Habitat</v>
      </c>
      <c r="C29" s="487" t="s">
        <v>492</v>
      </c>
      <c r="D29" s="492">
        <f>IF(PROJET!C$39='Data-Liste'!L$5,K29,IF(PROJET!C$39='Data-Liste'!L$4,J29,I29))</f>
        <v>40</v>
      </c>
      <c r="E29" s="487"/>
      <c r="F29" s="492">
        <f>IF(PROJET!D$39='Data-Liste'!L$5,N29,IF(PROJET!D$39='Data-Liste'!L$4,M29,L29))</f>
        <v>40</v>
      </c>
      <c r="G29" s="488"/>
      <c r="I29" s="499">
        <v>40</v>
      </c>
      <c r="J29" s="475">
        <v>45</v>
      </c>
      <c r="K29" s="500">
        <v>35</v>
      </c>
      <c r="L29" s="501">
        <v>40</v>
      </c>
      <c r="M29" s="490">
        <v>45</v>
      </c>
      <c r="N29" s="502">
        <v>35</v>
      </c>
      <c r="O29" s="477"/>
      <c r="P29" s="477"/>
      <c r="Q29" s="477"/>
      <c r="R29" s="490"/>
      <c r="S29" s="490"/>
    </row>
    <row r="30" spans="1:19" x14ac:dyDescent="0.2">
      <c r="B30" s="491" t="str">
        <f>'Data-Liste'!M5</f>
        <v>Sans ambition</v>
      </c>
      <c r="C30" s="487" t="s">
        <v>492</v>
      </c>
      <c r="D30" s="492"/>
      <c r="E30" s="487"/>
      <c r="F30" s="492">
        <f>IF(PROJET!D$39='Data-Liste'!L$5,N30,IF(PROJET!D$39='Data-Liste'!L$4,M30,L30))</f>
        <v>40</v>
      </c>
      <c r="G30" s="488"/>
      <c r="I30" s="503"/>
      <c r="J30" s="503"/>
      <c r="K30" s="504"/>
      <c r="L30" s="505">
        <v>40</v>
      </c>
      <c r="M30" s="506">
        <v>64</v>
      </c>
      <c r="N30" s="507">
        <v>50</v>
      </c>
      <c r="O30" s="477"/>
      <c r="P30" s="477"/>
      <c r="Q30" s="477"/>
      <c r="R30" s="490"/>
      <c r="S30" s="490"/>
    </row>
    <row r="31" spans="1:19" x14ac:dyDescent="0.2">
      <c r="A31" s="485" t="str">
        <f>'Data-Liste'!F3</f>
        <v>Bureaux</v>
      </c>
      <c r="B31" s="486"/>
      <c r="C31" s="487"/>
      <c r="D31" s="495"/>
      <c r="E31" s="493"/>
      <c r="F31" s="493"/>
      <c r="G31" s="488"/>
      <c r="J31" s="452"/>
      <c r="K31" s="452"/>
      <c r="L31" s="490"/>
      <c r="M31" s="477"/>
      <c r="N31" s="477"/>
      <c r="O31" s="477"/>
      <c r="P31" s="477"/>
      <c r="Q31" s="477"/>
      <c r="R31" s="490"/>
      <c r="S31" s="490"/>
    </row>
    <row r="32" spans="1:19" x14ac:dyDescent="0.2">
      <c r="A32" s="449" t="s">
        <v>491</v>
      </c>
      <c r="B32" s="486" t="s">
        <v>42</v>
      </c>
      <c r="C32" s="487"/>
      <c r="D32" s="487">
        <f>D33</f>
        <v>132</v>
      </c>
      <c r="E32" s="487">
        <v>1</v>
      </c>
      <c r="F32" s="487">
        <f>D32*E32</f>
        <v>132</v>
      </c>
      <c r="G32" s="488"/>
      <c r="J32" s="452"/>
      <c r="K32" s="452"/>
      <c r="L32" s="490"/>
      <c r="M32" s="477"/>
      <c r="N32" s="477"/>
      <c r="O32" s="477"/>
      <c r="P32" s="477"/>
      <c r="Q32" s="477"/>
      <c r="R32" s="490"/>
      <c r="S32" s="490"/>
    </row>
    <row r="33" spans="1:19" x14ac:dyDescent="0.2">
      <c r="B33" s="491" t="str">
        <f>'Data-Liste'!N3</f>
        <v>Sans ambition</v>
      </c>
      <c r="C33" s="487" t="s">
        <v>493</v>
      </c>
      <c r="D33" s="487">
        <v>132</v>
      </c>
      <c r="E33" s="487">
        <v>1</v>
      </c>
      <c r="F33" s="487">
        <f>D33*E33</f>
        <v>132</v>
      </c>
      <c r="G33" s="488"/>
      <c r="J33" s="452"/>
      <c r="K33" s="452"/>
      <c r="L33" s="490"/>
      <c r="M33" s="477"/>
      <c r="N33" s="477"/>
      <c r="O33" s="477"/>
      <c r="P33" s="477"/>
      <c r="Q33" s="477"/>
      <c r="R33" s="490"/>
      <c r="S33" s="490"/>
    </row>
    <row r="34" spans="1:19" x14ac:dyDescent="0.2">
      <c r="B34" s="491" t="str">
        <f>'Data-Liste'!N4</f>
        <v>PERENE</v>
      </c>
      <c r="C34" s="487" t="s">
        <v>493</v>
      </c>
      <c r="D34" s="487">
        <v>92</v>
      </c>
      <c r="E34" s="487">
        <v>1</v>
      </c>
      <c r="F34" s="487">
        <f>D34*E34</f>
        <v>92</v>
      </c>
      <c r="G34" s="488"/>
      <c r="J34" s="452"/>
      <c r="K34" s="452"/>
      <c r="L34" s="490"/>
      <c r="M34" s="477"/>
      <c r="N34" s="477"/>
      <c r="O34" s="477"/>
      <c r="P34" s="477"/>
      <c r="Q34" s="477"/>
      <c r="R34" s="490"/>
      <c r="S34" s="490"/>
    </row>
    <row r="35" spans="1:19" x14ac:dyDescent="0.2">
      <c r="B35" s="491" t="str">
        <f>'Data-Liste'!N5</f>
        <v>PREBAT</v>
      </c>
      <c r="C35" s="487" t="s">
        <v>493</v>
      </c>
      <c r="D35" s="487">
        <v>30</v>
      </c>
      <c r="E35" s="487">
        <v>1</v>
      </c>
      <c r="F35" s="487">
        <f>D35*E35</f>
        <v>30</v>
      </c>
      <c r="G35" s="488"/>
      <c r="J35" s="452"/>
      <c r="K35" s="452"/>
      <c r="L35" s="490"/>
      <c r="M35" s="477"/>
      <c r="N35" s="477"/>
      <c r="O35" s="477"/>
      <c r="P35" s="477"/>
      <c r="Q35" s="477"/>
      <c r="R35" s="490"/>
      <c r="S35" s="490"/>
    </row>
    <row r="36" spans="1:19" x14ac:dyDescent="0.2">
      <c r="A36" s="485" t="str">
        <f>'Data-Liste'!F4</f>
        <v>Enseignement scolaire</v>
      </c>
      <c r="B36" s="486"/>
      <c r="C36" s="487"/>
      <c r="D36" s="495"/>
      <c r="E36" s="493"/>
      <c r="F36" s="493"/>
      <c r="G36" s="488"/>
      <c r="J36" s="452"/>
      <c r="K36" s="452"/>
      <c r="L36" s="490"/>
      <c r="M36" s="477"/>
      <c r="N36" s="477"/>
      <c r="O36" s="477"/>
      <c r="P36" s="477"/>
      <c r="Q36" s="477"/>
      <c r="R36" s="490"/>
      <c r="S36" s="490"/>
    </row>
    <row r="37" spans="1:19" x14ac:dyDescent="0.2">
      <c r="A37" s="449" t="s">
        <v>491</v>
      </c>
      <c r="B37" s="508" t="str">
        <f>B32</f>
        <v>[-]</v>
      </c>
      <c r="C37" s="487"/>
      <c r="D37" s="487">
        <f>D38</f>
        <v>36</v>
      </c>
      <c r="E37" s="487">
        <v>1</v>
      </c>
      <c r="F37" s="487">
        <f>D37*E37</f>
        <v>36</v>
      </c>
      <c r="G37" s="488"/>
      <c r="J37" s="452"/>
      <c r="K37" s="452"/>
      <c r="L37" s="490"/>
      <c r="M37" s="477"/>
      <c r="N37" s="477"/>
      <c r="O37" s="477"/>
      <c r="P37" s="477"/>
      <c r="Q37" s="477"/>
      <c r="R37" s="490"/>
      <c r="S37" s="490"/>
    </row>
    <row r="38" spans="1:19" x14ac:dyDescent="0.2">
      <c r="B38" s="508" t="str">
        <f>B33</f>
        <v>Sans ambition</v>
      </c>
      <c r="C38" s="487" t="str">
        <f>C33</f>
        <v>kWh / m² u / an</v>
      </c>
      <c r="D38" s="487">
        <v>36</v>
      </c>
      <c r="E38" s="487">
        <v>1</v>
      </c>
      <c r="F38" s="487">
        <f>D38*E38</f>
        <v>36</v>
      </c>
      <c r="G38" s="488"/>
      <c r="J38" s="452"/>
      <c r="K38" s="452"/>
      <c r="L38" s="490"/>
      <c r="M38" s="477"/>
      <c r="N38" s="477"/>
      <c r="O38" s="477"/>
      <c r="P38" s="477"/>
      <c r="Q38" s="477"/>
      <c r="R38" s="490"/>
      <c r="S38" s="490"/>
    </row>
    <row r="39" spans="1:19" x14ac:dyDescent="0.2">
      <c r="B39" s="508" t="str">
        <f>B34</f>
        <v>PERENE</v>
      </c>
      <c r="C39" s="487" t="str">
        <f>C34</f>
        <v>kWh / m² u / an</v>
      </c>
      <c r="D39" s="487">
        <v>25</v>
      </c>
      <c r="E39" s="487">
        <v>1</v>
      </c>
      <c r="F39" s="487">
        <f>D39*E39</f>
        <v>25</v>
      </c>
      <c r="G39" s="488"/>
      <c r="J39" s="452"/>
      <c r="K39" s="452"/>
      <c r="L39" s="490"/>
      <c r="M39" s="477"/>
      <c r="N39" s="477"/>
      <c r="O39" s="477"/>
      <c r="P39" s="477"/>
      <c r="Q39" s="477"/>
      <c r="R39" s="490"/>
      <c r="S39" s="490"/>
    </row>
    <row r="40" spans="1:19" x14ac:dyDescent="0.2">
      <c r="B40" s="508" t="str">
        <f>B35</f>
        <v>PREBAT</v>
      </c>
      <c r="C40" s="487" t="str">
        <f>C35</f>
        <v>kWh / m² u / an</v>
      </c>
      <c r="D40" s="487">
        <v>21</v>
      </c>
      <c r="E40" s="487">
        <v>1</v>
      </c>
      <c r="F40" s="487">
        <f>D40*E40</f>
        <v>21</v>
      </c>
      <c r="G40" s="488"/>
      <c r="J40" s="452"/>
      <c r="K40" s="452"/>
      <c r="L40" s="490"/>
      <c r="M40" s="477"/>
      <c r="N40" s="477"/>
      <c r="O40" s="477"/>
      <c r="P40" s="477"/>
      <c r="Q40" s="477"/>
      <c r="R40" s="490"/>
      <c r="S40" s="490"/>
    </row>
    <row r="41" spans="1:19" x14ac:dyDescent="0.2">
      <c r="A41" s="485" t="str">
        <f>'Data-Liste'!F5</f>
        <v>Enseignement supérieur</v>
      </c>
      <c r="B41" s="486"/>
      <c r="C41" s="487"/>
      <c r="D41" s="495"/>
      <c r="E41" s="493"/>
      <c r="F41" s="493"/>
      <c r="G41" s="488"/>
      <c r="J41" s="452"/>
      <c r="K41" s="452"/>
      <c r="L41" s="490"/>
      <c r="M41" s="477"/>
      <c r="N41" s="477"/>
      <c r="O41" s="477"/>
      <c r="P41" s="477"/>
      <c r="Q41" s="477"/>
      <c r="R41" s="490"/>
      <c r="S41" s="490"/>
    </row>
    <row r="42" spans="1:19" x14ac:dyDescent="0.2">
      <c r="A42" s="449" t="s">
        <v>491</v>
      </c>
      <c r="B42" s="508" t="str">
        <f>B32</f>
        <v>[-]</v>
      </c>
      <c r="C42" s="487"/>
      <c r="D42" s="487">
        <f>D43</f>
        <v>140</v>
      </c>
      <c r="E42" s="487">
        <v>1</v>
      </c>
      <c r="F42" s="487">
        <f>D42*E42</f>
        <v>140</v>
      </c>
      <c r="G42" s="488"/>
      <c r="J42" s="452"/>
      <c r="K42" s="452"/>
      <c r="L42" s="490"/>
      <c r="M42" s="477"/>
      <c r="N42" s="477"/>
      <c r="O42" s="477"/>
      <c r="P42" s="477"/>
      <c r="Q42" s="477"/>
      <c r="R42" s="490"/>
      <c r="S42" s="490"/>
    </row>
    <row r="43" spans="1:19" x14ac:dyDescent="0.2">
      <c r="B43" s="508" t="str">
        <f>B33</f>
        <v>Sans ambition</v>
      </c>
      <c r="C43" s="487" t="str">
        <f>C38</f>
        <v>kWh / m² u / an</v>
      </c>
      <c r="D43" s="487">
        <v>140</v>
      </c>
      <c r="E43" s="487">
        <v>1</v>
      </c>
      <c r="F43" s="487">
        <f>D43*E43</f>
        <v>140</v>
      </c>
      <c r="G43" s="488"/>
      <c r="J43" s="452"/>
      <c r="K43" s="452"/>
      <c r="L43" s="490"/>
      <c r="M43" s="477"/>
      <c r="N43" s="477"/>
      <c r="O43" s="477"/>
      <c r="P43" s="477"/>
      <c r="Q43" s="477"/>
      <c r="R43" s="490"/>
      <c r="S43" s="490"/>
    </row>
    <row r="44" spans="1:19" x14ac:dyDescent="0.2">
      <c r="B44" s="508" t="str">
        <f>B34</f>
        <v>PERENE</v>
      </c>
      <c r="C44" s="487" t="str">
        <f>C39</f>
        <v>kWh / m² u / an</v>
      </c>
      <c r="D44" s="487">
        <v>98</v>
      </c>
      <c r="E44" s="487">
        <v>1</v>
      </c>
      <c r="F44" s="487">
        <f>D44*E44</f>
        <v>98</v>
      </c>
      <c r="G44" s="488"/>
      <c r="J44" s="452"/>
      <c r="K44" s="452"/>
      <c r="L44" s="490"/>
      <c r="M44" s="477"/>
      <c r="N44" s="477"/>
      <c r="O44" s="477"/>
      <c r="P44" s="477"/>
      <c r="Q44" s="477"/>
      <c r="R44" s="490"/>
      <c r="S44" s="490"/>
    </row>
    <row r="45" spans="1:19" x14ac:dyDescent="0.2">
      <c r="B45" s="508" t="str">
        <f>B35</f>
        <v>PREBAT</v>
      </c>
      <c r="C45" s="487" t="str">
        <f>C40</f>
        <v>kWh / m² u / an</v>
      </c>
      <c r="D45" s="487">
        <v>50</v>
      </c>
      <c r="E45" s="487">
        <v>1</v>
      </c>
      <c r="F45" s="487">
        <f>D45*E45</f>
        <v>50</v>
      </c>
      <c r="G45" s="488"/>
      <c r="J45" s="452"/>
      <c r="K45" s="452"/>
      <c r="L45" s="490"/>
      <c r="M45" s="477"/>
      <c r="N45" s="477"/>
      <c r="O45" s="477"/>
      <c r="P45" s="477"/>
      <c r="Q45" s="477"/>
      <c r="R45" s="490"/>
      <c r="S45" s="490"/>
    </row>
    <row r="46" spans="1:19" x14ac:dyDescent="0.2">
      <c r="A46" s="485" t="str">
        <f>'Data-Liste'!F6</f>
        <v>Autre tertiaire (petit commerce)</v>
      </c>
      <c r="B46" s="486"/>
      <c r="C46" s="487"/>
      <c r="D46" s="495"/>
      <c r="E46" s="493"/>
      <c r="F46" s="493"/>
      <c r="G46" s="488"/>
      <c r="J46" s="452"/>
      <c r="K46" s="452"/>
      <c r="L46" s="490"/>
      <c r="M46" s="477"/>
      <c r="N46" s="477"/>
      <c r="O46" s="477"/>
      <c r="P46" s="477"/>
      <c r="Q46" s="477"/>
      <c r="R46" s="490"/>
      <c r="S46" s="490"/>
    </row>
    <row r="47" spans="1:19" x14ac:dyDescent="0.2">
      <c r="A47" s="449" t="s">
        <v>491</v>
      </c>
      <c r="B47" s="508" t="str">
        <f>B32</f>
        <v>[-]</v>
      </c>
      <c r="C47" s="487"/>
      <c r="D47" s="487">
        <f>D48</f>
        <v>320</v>
      </c>
      <c r="E47" s="487">
        <v>1</v>
      </c>
      <c r="F47" s="487">
        <f>D47*E47</f>
        <v>320</v>
      </c>
      <c r="G47" s="488"/>
      <c r="J47" s="452"/>
      <c r="K47" s="452"/>
      <c r="L47" s="490"/>
      <c r="M47" s="477"/>
      <c r="N47" s="477"/>
      <c r="O47" s="477"/>
      <c r="P47" s="477"/>
      <c r="Q47" s="477"/>
      <c r="R47" s="490"/>
      <c r="S47" s="490"/>
    </row>
    <row r="48" spans="1:19" x14ac:dyDescent="0.2">
      <c r="B48" s="508" t="str">
        <f>B33</f>
        <v>Sans ambition</v>
      </c>
      <c r="C48" s="487" t="str">
        <f>C38</f>
        <v>kWh / m² u / an</v>
      </c>
      <c r="D48" s="487">
        <v>320</v>
      </c>
      <c r="E48" s="487">
        <v>1</v>
      </c>
      <c r="F48" s="487">
        <f>D48*E48</f>
        <v>320</v>
      </c>
      <c r="G48" s="488"/>
      <c r="J48" s="452"/>
      <c r="K48" s="452"/>
      <c r="L48" s="490"/>
      <c r="M48" s="477"/>
      <c r="N48" s="477"/>
      <c r="O48" s="477"/>
      <c r="P48" s="477"/>
      <c r="Q48" s="477"/>
      <c r="R48" s="490"/>
      <c r="S48" s="490"/>
    </row>
    <row r="49" spans="1:30" x14ac:dyDescent="0.2">
      <c r="B49" s="508" t="str">
        <f>B34</f>
        <v>PERENE</v>
      </c>
      <c r="C49" s="487" t="str">
        <f>C39</f>
        <v>kWh / m² u / an</v>
      </c>
      <c r="D49" s="487">
        <v>256</v>
      </c>
      <c r="E49" s="487">
        <v>1</v>
      </c>
      <c r="F49" s="487">
        <f>D49*E49</f>
        <v>256</v>
      </c>
      <c r="G49" s="488"/>
      <c r="J49" s="452"/>
      <c r="K49" s="452"/>
      <c r="L49" s="490"/>
      <c r="M49" s="477"/>
      <c r="N49" s="477"/>
      <c r="O49" s="477"/>
      <c r="P49" s="477"/>
      <c r="Q49" s="477"/>
      <c r="R49" s="490"/>
      <c r="S49" s="490"/>
    </row>
    <row r="50" spans="1:30" x14ac:dyDescent="0.2">
      <c r="B50" s="508" t="str">
        <f>B35</f>
        <v>PREBAT</v>
      </c>
      <c r="C50" s="487" t="str">
        <f>C40</f>
        <v>kWh / m² u / an</v>
      </c>
      <c r="D50" s="487">
        <v>200</v>
      </c>
      <c r="E50" s="487">
        <v>1</v>
      </c>
      <c r="F50" s="487">
        <f>D50*E50</f>
        <v>200</v>
      </c>
      <c r="G50" s="488"/>
      <c r="J50" s="452"/>
      <c r="K50" s="452"/>
      <c r="L50" s="490"/>
      <c r="M50" s="477"/>
      <c r="N50" s="477"/>
      <c r="O50" s="477"/>
      <c r="P50" s="477"/>
      <c r="Q50" s="477"/>
      <c r="R50" s="490"/>
      <c r="S50" s="490"/>
    </row>
    <row r="51" spans="1:30" x14ac:dyDescent="0.2">
      <c r="A51" s="485" t="str">
        <f>'Data-Liste'!F7</f>
        <v>Inconnu (livré en blanc)</v>
      </c>
      <c r="B51" s="486"/>
      <c r="C51" s="487"/>
      <c r="D51" s="495"/>
      <c r="E51" s="493"/>
      <c r="F51" s="493"/>
      <c r="G51" s="488"/>
      <c r="J51" s="452"/>
      <c r="K51" s="452"/>
      <c r="L51" s="490"/>
      <c r="M51" s="477"/>
      <c r="N51" s="477"/>
      <c r="O51" s="477"/>
      <c r="P51" s="477"/>
      <c r="Q51" s="477"/>
      <c r="R51" s="490"/>
      <c r="S51" s="490"/>
    </row>
    <row r="52" spans="1:30" x14ac:dyDescent="0.2">
      <c r="A52" s="449" t="s">
        <v>491</v>
      </c>
      <c r="B52" s="486" t="str">
        <f>B37</f>
        <v>[-]</v>
      </c>
      <c r="C52" s="487"/>
      <c r="D52" s="487">
        <f>D53</f>
        <v>200</v>
      </c>
      <c r="E52" s="487">
        <v>1</v>
      </c>
      <c r="F52" s="487">
        <f>D52*E52</f>
        <v>200</v>
      </c>
      <c r="G52" s="488"/>
      <c r="J52" s="452"/>
      <c r="K52" s="452"/>
      <c r="L52" s="490"/>
      <c r="M52" s="477"/>
      <c r="N52" s="477"/>
      <c r="O52" s="477"/>
      <c r="P52" s="477"/>
      <c r="Q52" s="477"/>
      <c r="R52" s="490"/>
      <c r="S52" s="490"/>
    </row>
    <row r="53" spans="1:30" x14ac:dyDescent="0.2">
      <c r="B53" s="486" t="str">
        <f>B38</f>
        <v>Sans ambition</v>
      </c>
      <c r="C53" s="487" t="str">
        <f>C43</f>
        <v>kWh / m² u / an</v>
      </c>
      <c r="D53" s="487">
        <v>200</v>
      </c>
      <c r="E53" s="487">
        <v>1</v>
      </c>
      <c r="F53" s="487">
        <f>D53*E53</f>
        <v>200</v>
      </c>
      <c r="G53" s="488"/>
      <c r="J53" s="452"/>
      <c r="K53" s="452"/>
      <c r="L53" s="490"/>
      <c r="M53" s="477"/>
      <c r="N53" s="477"/>
      <c r="O53" s="477"/>
      <c r="P53" s="477"/>
      <c r="Q53" s="477"/>
      <c r="R53" s="490"/>
      <c r="S53" s="490"/>
    </row>
    <row r="54" spans="1:30" x14ac:dyDescent="0.2">
      <c r="B54" s="486" t="str">
        <f>B39</f>
        <v>PERENE</v>
      </c>
      <c r="C54" s="487" t="str">
        <f>C44</f>
        <v>kWh / m² u / an</v>
      </c>
      <c r="D54" s="487">
        <v>150</v>
      </c>
      <c r="E54" s="487">
        <v>1</v>
      </c>
      <c r="F54" s="487">
        <f>D54*E54</f>
        <v>150</v>
      </c>
      <c r="G54" s="488"/>
      <c r="J54" s="452"/>
      <c r="K54" s="452"/>
      <c r="L54" s="490"/>
      <c r="M54" s="477"/>
      <c r="N54" s="477"/>
      <c r="O54" s="477"/>
      <c r="P54" s="477"/>
      <c r="Q54" s="477"/>
      <c r="R54" s="490"/>
      <c r="S54" s="490"/>
    </row>
    <row r="55" spans="1:30" x14ac:dyDescent="0.2">
      <c r="B55" s="486" t="str">
        <f>B40</f>
        <v>PREBAT</v>
      </c>
      <c r="C55" s="487" t="str">
        <f>C45</f>
        <v>kWh / m² u / an</v>
      </c>
      <c r="D55" s="487">
        <v>100</v>
      </c>
      <c r="E55" s="487">
        <v>1</v>
      </c>
      <c r="F55" s="487">
        <f>D55*E55</f>
        <v>100</v>
      </c>
      <c r="G55" s="488"/>
      <c r="J55" s="452"/>
      <c r="K55" s="490"/>
      <c r="L55" s="477"/>
      <c r="M55" s="477"/>
      <c r="N55" s="477"/>
      <c r="O55" s="477"/>
      <c r="P55" s="477"/>
      <c r="Q55" s="490"/>
      <c r="R55" s="490"/>
      <c r="S55" s="456"/>
      <c r="AD55" s="450"/>
    </row>
    <row r="56" spans="1:30" x14ac:dyDescent="0.2">
      <c r="A56" s="467" t="s">
        <v>172</v>
      </c>
      <c r="B56" s="486" t="s">
        <v>494</v>
      </c>
      <c r="C56" s="487" t="s">
        <v>495</v>
      </c>
      <c r="D56" s="509">
        <v>0.5</v>
      </c>
      <c r="E56" s="487"/>
      <c r="F56" s="487"/>
      <c r="G56" s="488"/>
      <c r="I56" s="730" t="s">
        <v>496</v>
      </c>
      <c r="J56" s="730"/>
      <c r="K56" s="730"/>
      <c r="L56" s="477"/>
      <c r="M56" s="477"/>
      <c r="N56" s="477"/>
      <c r="O56" s="477"/>
      <c r="P56" s="477"/>
      <c r="Q56" s="490"/>
      <c r="R56" s="490"/>
      <c r="S56" s="456"/>
      <c r="AD56" s="450"/>
    </row>
    <row r="57" spans="1:30" x14ac:dyDescent="0.2">
      <c r="A57" s="449" t="s">
        <v>497</v>
      </c>
      <c r="B57" s="491" t="s">
        <v>481</v>
      </c>
      <c r="C57" s="487" t="s">
        <v>482</v>
      </c>
      <c r="D57" s="728">
        <f>100-D22</f>
        <v>70</v>
      </c>
      <c r="E57" s="728"/>
      <c r="F57" s="728"/>
      <c r="G57" s="488"/>
      <c r="H57" s="452" t="s">
        <v>498</v>
      </c>
      <c r="I57" s="510" t="s">
        <v>7</v>
      </c>
      <c r="J57" s="511" t="s">
        <v>449</v>
      </c>
      <c r="K57" s="512" t="s">
        <v>499</v>
      </c>
      <c r="L57" s="477"/>
      <c r="M57" s="477"/>
      <c r="N57" s="477"/>
      <c r="O57" s="477"/>
      <c r="P57" s="477"/>
      <c r="Q57" s="490"/>
      <c r="R57" s="490"/>
      <c r="S57" s="456"/>
      <c r="AD57" s="450"/>
    </row>
    <row r="58" spans="1:30" x14ac:dyDescent="0.2">
      <c r="B58" s="491" t="s">
        <v>483</v>
      </c>
      <c r="C58" s="487" t="s">
        <v>500</v>
      </c>
      <c r="D58" s="731">
        <f>IF(PROJET!C$6='Data-Liste'!B$3,I58,IF(PROJET!C$6='Data-Liste'!B$4,J58,K58))</f>
        <v>5</v>
      </c>
      <c r="E58" s="731"/>
      <c r="F58" s="731"/>
      <c r="G58" s="488"/>
      <c r="I58" s="513">
        <v>5</v>
      </c>
      <c r="J58" s="494">
        <v>5</v>
      </c>
      <c r="K58" s="514">
        <v>5</v>
      </c>
      <c r="L58" s="477"/>
      <c r="M58" s="477"/>
      <c r="N58" s="477"/>
      <c r="O58" s="477"/>
      <c r="P58" s="477"/>
      <c r="Q58" s="490"/>
      <c r="R58" s="490"/>
      <c r="S58" s="456"/>
      <c r="AD58" s="450"/>
    </row>
    <row r="59" spans="1:30" x14ac:dyDescent="0.2">
      <c r="B59" s="491" t="s">
        <v>484</v>
      </c>
      <c r="C59" s="487" t="s">
        <v>500</v>
      </c>
      <c r="D59" s="731">
        <f>IF(PROJET!C$6='Data-Liste'!B$3,I59,IF(PROJET!C$6='Data-Liste'!B$4,J59,K59))</f>
        <v>75</v>
      </c>
      <c r="E59" s="731"/>
      <c r="F59" s="731"/>
      <c r="G59" s="488"/>
      <c r="I59" s="515">
        <v>75</v>
      </c>
      <c r="J59" s="516">
        <v>75</v>
      </c>
      <c r="K59" s="517">
        <v>75</v>
      </c>
      <c r="L59" s="477"/>
      <c r="M59" s="477"/>
      <c r="N59" s="477"/>
      <c r="O59" s="477"/>
      <c r="P59" s="477"/>
      <c r="Q59" s="490"/>
      <c r="R59" s="490"/>
      <c r="S59" s="456"/>
      <c r="AD59" s="450"/>
    </row>
    <row r="60" spans="1:30" x14ac:dyDescent="0.2">
      <c r="A60" s="518" t="s">
        <v>501</v>
      </c>
      <c r="C60" s="487"/>
      <c r="D60" s="493"/>
      <c r="E60" s="493"/>
      <c r="F60" s="493"/>
      <c r="G60" s="488"/>
      <c r="J60" s="452"/>
      <c r="K60" s="490"/>
      <c r="L60" s="477"/>
      <c r="M60" s="477"/>
      <c r="N60" s="477"/>
      <c r="O60" s="477"/>
      <c r="P60" s="477"/>
      <c r="Q60" s="490"/>
      <c r="R60" s="490"/>
      <c r="S60" s="456"/>
      <c r="AD60" s="450"/>
    </row>
    <row r="61" spans="1:30" x14ac:dyDescent="0.2">
      <c r="A61" s="467"/>
      <c r="B61" s="486" t="s">
        <v>12</v>
      </c>
      <c r="C61" s="487" t="s">
        <v>500</v>
      </c>
      <c r="D61" s="492">
        <f>(10+40)/2</f>
        <v>25</v>
      </c>
      <c r="E61" s="487">
        <v>0</v>
      </c>
      <c r="F61" s="487">
        <f t="shared" ref="F61:F68" si="2">D61*E61</f>
        <v>0</v>
      </c>
      <c r="G61" s="488"/>
      <c r="H61" s="452" t="s">
        <v>502</v>
      </c>
      <c r="J61" s="452"/>
      <c r="K61" s="452"/>
      <c r="L61" s="490"/>
      <c r="M61" s="477"/>
      <c r="N61" s="477"/>
      <c r="O61" s="477"/>
      <c r="P61" s="477"/>
      <c r="Q61" s="477"/>
      <c r="R61" s="490"/>
      <c r="S61" s="490"/>
    </row>
    <row r="62" spans="1:30" x14ac:dyDescent="0.2">
      <c r="B62" s="491" t="str">
        <f>'Data-Liste'!F3</f>
        <v>Bureaux</v>
      </c>
      <c r="C62" s="487" t="s">
        <v>500</v>
      </c>
      <c r="D62" s="492">
        <f>(20+60)/2</f>
        <v>40</v>
      </c>
      <c r="E62" s="487">
        <v>0</v>
      </c>
      <c r="F62" s="487">
        <f t="shared" si="2"/>
        <v>0</v>
      </c>
      <c r="G62" s="488"/>
      <c r="H62" s="452" t="s">
        <v>502</v>
      </c>
      <c r="J62" s="452"/>
      <c r="K62" s="452"/>
      <c r="L62" s="490"/>
      <c r="M62" s="477"/>
      <c r="N62" s="477"/>
      <c r="O62" s="477"/>
      <c r="P62" s="477"/>
      <c r="Q62" s="477"/>
      <c r="R62" s="490"/>
      <c r="S62" s="490"/>
    </row>
    <row r="63" spans="1:30" x14ac:dyDescent="0.2">
      <c r="B63" s="491" t="str">
        <f>'Data-Liste'!F4</f>
        <v>Enseignement scolaire</v>
      </c>
      <c r="C63" s="487" t="s">
        <v>500</v>
      </c>
      <c r="D63" s="492">
        <v>25</v>
      </c>
      <c r="E63" s="487">
        <v>0</v>
      </c>
      <c r="F63" s="487">
        <f t="shared" si="2"/>
        <v>0</v>
      </c>
      <c r="G63" s="488"/>
      <c r="H63" s="452" t="s">
        <v>503</v>
      </c>
      <c r="J63" s="452"/>
      <c r="K63" s="452"/>
      <c r="L63" s="490"/>
      <c r="M63" s="477"/>
      <c r="N63" s="477"/>
      <c r="O63" s="477"/>
      <c r="P63" s="477"/>
      <c r="Q63" s="477"/>
      <c r="R63" s="490"/>
      <c r="S63" s="490"/>
    </row>
    <row r="64" spans="1:30" x14ac:dyDescent="0.2">
      <c r="B64" s="491" t="str">
        <f>'Data-Liste'!F5</f>
        <v>Enseignement supérieur</v>
      </c>
      <c r="C64" s="487" t="s">
        <v>500</v>
      </c>
      <c r="D64" s="492">
        <f>2*D63</f>
        <v>50</v>
      </c>
      <c r="E64" s="487">
        <v>0</v>
      </c>
      <c r="F64" s="487">
        <f t="shared" si="2"/>
        <v>0</v>
      </c>
      <c r="G64" s="488"/>
      <c r="H64" s="452" t="s">
        <v>504</v>
      </c>
      <c r="J64" s="452"/>
      <c r="K64" s="452"/>
      <c r="L64" s="490"/>
      <c r="M64" s="477"/>
      <c r="N64" s="477"/>
      <c r="O64" s="477"/>
      <c r="P64" s="477"/>
      <c r="Q64" s="477"/>
      <c r="R64" s="490"/>
      <c r="S64" s="490"/>
    </row>
    <row r="65" spans="1:30" x14ac:dyDescent="0.2">
      <c r="B65" s="491" t="str">
        <f>'Data-Liste'!F7</f>
        <v>Inconnu (livré en blanc)</v>
      </c>
      <c r="C65" s="487" t="s">
        <v>500</v>
      </c>
      <c r="D65" s="492">
        <v>100</v>
      </c>
      <c r="E65" s="487">
        <v>0</v>
      </c>
      <c r="F65" s="487">
        <f t="shared" si="2"/>
        <v>0</v>
      </c>
      <c r="G65" s="488"/>
      <c r="H65" s="452" t="s">
        <v>505</v>
      </c>
      <c r="J65" s="452"/>
      <c r="K65" s="452"/>
      <c r="L65" s="490"/>
      <c r="M65" s="477"/>
      <c r="N65" s="477"/>
      <c r="O65" s="477"/>
      <c r="P65" s="477"/>
      <c r="Q65" s="477"/>
      <c r="R65" s="490"/>
      <c r="S65" s="490"/>
    </row>
    <row r="66" spans="1:30" x14ac:dyDescent="0.2">
      <c r="A66" s="449" t="s">
        <v>506</v>
      </c>
      <c r="B66" s="486" t="s">
        <v>42</v>
      </c>
      <c r="C66" s="487"/>
      <c r="D66" s="492">
        <v>1</v>
      </c>
      <c r="E66" s="487">
        <v>0</v>
      </c>
      <c r="F66" s="487">
        <f t="shared" si="2"/>
        <v>0</v>
      </c>
      <c r="G66" s="488"/>
      <c r="J66" s="452"/>
      <c r="K66" s="452"/>
      <c r="L66" s="490"/>
      <c r="M66" s="477"/>
      <c r="N66" s="477"/>
      <c r="O66" s="477"/>
      <c r="P66" s="477"/>
      <c r="Q66" s="477"/>
      <c r="R66" s="490"/>
      <c r="S66" s="490"/>
    </row>
    <row r="67" spans="1:30" x14ac:dyDescent="0.2">
      <c r="B67" s="491" t="str">
        <f>'Data-Liste'!K3</f>
        <v>Oui</v>
      </c>
      <c r="C67" s="487" t="s">
        <v>478</v>
      </c>
      <c r="D67" s="487">
        <v>0.8</v>
      </c>
      <c r="E67" s="487">
        <v>0</v>
      </c>
      <c r="F67" s="487">
        <f t="shared" si="2"/>
        <v>0</v>
      </c>
      <c r="G67" s="488"/>
      <c r="H67" s="452" t="s">
        <v>479</v>
      </c>
      <c r="J67" s="452"/>
      <c r="K67" s="452"/>
      <c r="L67" s="490"/>
      <c r="M67" s="477"/>
      <c r="N67" s="477"/>
      <c r="O67" s="477"/>
      <c r="P67" s="477"/>
      <c r="Q67" s="477"/>
      <c r="R67" s="490"/>
      <c r="S67" s="490"/>
    </row>
    <row r="68" spans="1:30" x14ac:dyDescent="0.2">
      <c r="B68" s="491" t="str">
        <f>'Data-Liste'!K4</f>
        <v>Non</v>
      </c>
      <c r="C68" s="487" t="s">
        <v>478</v>
      </c>
      <c r="D68" s="487">
        <v>1.1000000000000001</v>
      </c>
      <c r="E68" s="487">
        <v>0</v>
      </c>
      <c r="F68" s="487">
        <f t="shared" si="2"/>
        <v>0</v>
      </c>
      <c r="G68" s="488"/>
      <c r="H68" s="452" t="s">
        <v>479</v>
      </c>
      <c r="J68" s="452"/>
      <c r="K68" s="452"/>
      <c r="L68" s="490"/>
      <c r="M68" s="477"/>
      <c r="N68" s="477"/>
      <c r="O68" s="477"/>
      <c r="P68" s="477"/>
      <c r="Q68" s="477"/>
      <c r="R68" s="490"/>
      <c r="S68" s="490"/>
    </row>
    <row r="69" spans="1:30" x14ac:dyDescent="0.2">
      <c r="B69" s="491"/>
      <c r="C69" s="487"/>
      <c r="D69" s="492"/>
      <c r="E69" s="487"/>
      <c r="F69" s="487"/>
      <c r="G69" s="488"/>
      <c r="J69" s="452"/>
      <c r="K69" s="452"/>
      <c r="L69" s="490"/>
      <c r="M69" s="477"/>
      <c r="N69" s="477"/>
      <c r="O69" s="477"/>
      <c r="P69" s="477"/>
      <c r="Q69" s="477"/>
      <c r="R69" s="490"/>
      <c r="S69" s="490"/>
    </row>
    <row r="70" spans="1:30" x14ac:dyDescent="0.2">
      <c r="A70" s="518" t="s">
        <v>507</v>
      </c>
      <c r="C70" s="487"/>
      <c r="D70" s="487"/>
      <c r="E70" s="487"/>
      <c r="F70" s="487"/>
      <c r="G70" s="488"/>
      <c r="J70" s="452"/>
      <c r="K70" s="452"/>
      <c r="L70" s="490"/>
      <c r="M70" s="477"/>
      <c r="N70" s="477"/>
      <c r="O70" s="477"/>
      <c r="P70" s="477"/>
      <c r="Q70" s="477"/>
      <c r="R70" s="490"/>
      <c r="S70" s="490"/>
    </row>
    <row r="71" spans="1:30" x14ac:dyDescent="0.2">
      <c r="A71" s="518"/>
      <c r="B71" s="486" t="s">
        <v>12</v>
      </c>
      <c r="C71" s="487" t="s">
        <v>500</v>
      </c>
      <c r="D71" s="492">
        <v>5</v>
      </c>
      <c r="E71" s="487">
        <v>0</v>
      </c>
      <c r="F71" s="487">
        <f>D71*E71</f>
        <v>0</v>
      </c>
      <c r="G71" s="488"/>
      <c r="H71" s="452" t="s">
        <v>508</v>
      </c>
      <c r="J71" s="452"/>
      <c r="K71" s="452"/>
      <c r="L71" s="490"/>
      <c r="M71" s="477"/>
      <c r="N71" s="477"/>
      <c r="O71" s="477"/>
      <c r="P71" s="477"/>
      <c r="Q71" s="477"/>
      <c r="R71" s="490"/>
      <c r="S71" s="490"/>
    </row>
    <row r="72" spans="1:30" x14ac:dyDescent="0.2">
      <c r="A72" s="518"/>
      <c r="B72" s="491" t="str">
        <f>'Data-Liste'!F3</f>
        <v>Bureaux</v>
      </c>
      <c r="C72" s="487" t="s">
        <v>500</v>
      </c>
      <c r="D72" s="492">
        <v>5</v>
      </c>
      <c r="E72" s="487">
        <v>0</v>
      </c>
      <c r="F72" s="487">
        <f>D72*E72</f>
        <v>0</v>
      </c>
      <c r="G72" s="488"/>
      <c r="H72" s="452" t="s">
        <v>509</v>
      </c>
      <c r="J72" s="452"/>
      <c r="K72" s="452"/>
      <c r="L72" s="490"/>
      <c r="M72" s="477"/>
      <c r="N72" s="477"/>
      <c r="O72" s="477"/>
      <c r="P72" s="477"/>
      <c r="Q72" s="477"/>
      <c r="R72" s="490"/>
      <c r="S72" s="490"/>
    </row>
    <row r="73" spans="1:30" x14ac:dyDescent="0.2">
      <c r="A73" s="518"/>
      <c r="B73" s="491" t="str">
        <f>'Data-Liste'!F4</f>
        <v>Enseignement scolaire</v>
      </c>
      <c r="C73" s="487" t="s">
        <v>500</v>
      </c>
      <c r="D73" s="492">
        <v>30</v>
      </c>
      <c r="E73" s="487">
        <v>0</v>
      </c>
      <c r="F73" s="487">
        <f>D73*E73</f>
        <v>0</v>
      </c>
      <c r="G73" s="488"/>
      <c r="H73" s="452" t="s">
        <v>510</v>
      </c>
      <c r="J73" s="452"/>
      <c r="K73" s="452"/>
      <c r="L73" s="490"/>
      <c r="M73" s="477"/>
      <c r="N73" s="477"/>
      <c r="O73" s="477"/>
      <c r="P73" s="477"/>
      <c r="Q73" s="477"/>
      <c r="R73" s="490"/>
      <c r="S73" s="490"/>
    </row>
    <row r="74" spans="1:30" x14ac:dyDescent="0.2">
      <c r="B74" s="491" t="str">
        <f>'Data-Liste'!F5</f>
        <v>Enseignement supérieur</v>
      </c>
      <c r="C74" s="487" t="s">
        <v>500</v>
      </c>
      <c r="D74" s="492">
        <f>D73</f>
        <v>30</v>
      </c>
      <c r="E74" s="487">
        <v>0</v>
      </c>
      <c r="F74" s="487">
        <f>D74*E74</f>
        <v>0</v>
      </c>
      <c r="G74" s="488"/>
      <c r="H74" s="452" t="s">
        <v>511</v>
      </c>
      <c r="J74" s="452"/>
      <c r="K74" s="452"/>
      <c r="L74" s="490"/>
      <c r="M74" s="477"/>
      <c r="N74" s="477"/>
      <c r="O74" s="477"/>
      <c r="P74" s="477"/>
      <c r="Q74" s="477"/>
      <c r="R74" s="490"/>
      <c r="S74" s="490"/>
    </row>
    <row r="75" spans="1:30" x14ac:dyDescent="0.2">
      <c r="B75" s="491" t="str">
        <f>'Data-Liste'!F7</f>
        <v>Inconnu (livré en blanc)</v>
      </c>
      <c r="C75" s="487" t="s">
        <v>500</v>
      </c>
      <c r="D75" s="492">
        <v>100</v>
      </c>
      <c r="E75" s="487">
        <v>0</v>
      </c>
      <c r="F75" s="487">
        <f>D75*E75</f>
        <v>0</v>
      </c>
      <c r="G75" s="488"/>
      <c r="H75" s="452" t="s">
        <v>512</v>
      </c>
      <c r="J75" s="452"/>
      <c r="K75" s="452"/>
      <c r="L75" s="490"/>
      <c r="M75" s="477"/>
      <c r="N75" s="477"/>
      <c r="O75" s="477"/>
      <c r="P75" s="477"/>
      <c r="Q75" s="477"/>
      <c r="R75" s="490"/>
      <c r="S75" s="490"/>
    </row>
    <row r="76" spans="1:30" x14ac:dyDescent="0.2">
      <c r="C76" s="487"/>
      <c r="D76" s="487"/>
      <c r="E76" s="487"/>
      <c r="F76" s="487"/>
      <c r="G76" s="488"/>
      <c r="J76" s="452"/>
      <c r="K76" s="452"/>
      <c r="L76" s="490"/>
      <c r="M76" s="477"/>
      <c r="N76" s="477"/>
      <c r="O76" s="477"/>
      <c r="P76" s="477"/>
      <c r="Q76" s="477"/>
      <c r="R76" s="490"/>
      <c r="S76" s="490"/>
    </row>
    <row r="77" spans="1:30" ht="27.75" customHeight="1" x14ac:dyDescent="0.2">
      <c r="A77" s="519" t="s">
        <v>129</v>
      </c>
      <c r="B77" s="520"/>
      <c r="C77" s="521"/>
      <c r="D77" s="521"/>
      <c r="E77" s="521"/>
      <c r="F77" s="521"/>
      <c r="G77" s="521"/>
      <c r="H77" s="522" t="s">
        <v>513</v>
      </c>
      <c r="I77" s="522" t="s">
        <v>514</v>
      </c>
      <c r="J77" s="522"/>
      <c r="K77" s="522"/>
      <c r="L77" s="523"/>
      <c r="M77" s="524"/>
      <c r="N77" s="524"/>
      <c r="O77" s="524"/>
      <c r="P77" s="524"/>
      <c r="Q77" s="524"/>
      <c r="R77" s="523"/>
      <c r="S77" s="523"/>
      <c r="T77" s="525"/>
      <c r="U77" s="525"/>
      <c r="V77" s="525"/>
    </row>
    <row r="78" spans="1:30" s="468" customFormat="1" ht="16.5" customHeight="1" x14ac:dyDescent="0.2">
      <c r="A78" s="526" t="s">
        <v>133</v>
      </c>
      <c r="B78" s="527"/>
      <c r="C78" s="528"/>
      <c r="D78" s="528"/>
      <c r="E78" s="528"/>
      <c r="F78" s="528"/>
      <c r="G78" s="529"/>
      <c r="H78" s="452"/>
      <c r="I78" s="452"/>
      <c r="J78" s="452"/>
      <c r="K78" s="452"/>
      <c r="L78" s="490"/>
      <c r="M78" s="477"/>
      <c r="N78" s="477"/>
      <c r="O78" s="477"/>
      <c r="P78" s="477"/>
      <c r="Q78" s="477"/>
      <c r="R78" s="490"/>
      <c r="S78" s="490"/>
      <c r="T78" s="456"/>
      <c r="U78" s="530"/>
      <c r="V78" s="531"/>
      <c r="W78"/>
      <c r="X78"/>
      <c r="Y78"/>
      <c r="Z78"/>
      <c r="AA78"/>
      <c r="AB78"/>
      <c r="AC78"/>
      <c r="AD78"/>
    </row>
    <row r="79" spans="1:30" s="468" customFormat="1" x14ac:dyDescent="0.2">
      <c r="A79" s="467"/>
      <c r="B79" s="486" t="s">
        <v>136</v>
      </c>
      <c r="C79" s="487" t="s">
        <v>515</v>
      </c>
      <c r="D79" s="492">
        <v>3000</v>
      </c>
      <c r="E79" s="532"/>
      <c r="F79" s="488"/>
      <c r="G79" s="488"/>
      <c r="H79" s="452" t="s">
        <v>516</v>
      </c>
      <c r="I79" s="492">
        <v>4000</v>
      </c>
      <c r="J79" s="489"/>
      <c r="K79" s="489"/>
      <c r="L79" s="490"/>
      <c r="M79" s="477"/>
      <c r="N79" s="477"/>
      <c r="O79" s="477"/>
      <c r="P79" s="477"/>
      <c r="Q79" s="477"/>
      <c r="R79" s="490"/>
      <c r="S79" s="490"/>
      <c r="T79" s="456"/>
      <c r="U79" s="533"/>
      <c r="V79" s="531"/>
      <c r="W79"/>
      <c r="X79"/>
      <c r="Y79"/>
      <c r="Z79"/>
      <c r="AA79"/>
      <c r="AB79"/>
      <c r="AC79"/>
      <c r="AD79"/>
    </row>
    <row r="80" spans="1:30" x14ac:dyDescent="0.2">
      <c r="A80" s="467" t="s">
        <v>517</v>
      </c>
      <c r="B80" s="486" t="s">
        <v>139</v>
      </c>
      <c r="C80" s="487"/>
      <c r="D80" s="487">
        <v>0</v>
      </c>
      <c r="E80" s="532"/>
      <c r="F80" s="488"/>
      <c r="G80" s="488"/>
      <c r="I80" s="487"/>
      <c r="J80" s="487"/>
      <c r="K80" s="487"/>
      <c r="L80" s="490"/>
      <c r="M80" s="477"/>
      <c r="N80" s="477"/>
      <c r="O80" s="477"/>
      <c r="P80" s="477"/>
      <c r="Q80" s="477"/>
      <c r="R80" s="490"/>
      <c r="S80" s="490"/>
      <c r="V80" s="531"/>
    </row>
    <row r="81" spans="1:30" x14ac:dyDescent="0.2">
      <c r="A81" s="467"/>
      <c r="B81" s="486" t="s">
        <v>518</v>
      </c>
      <c r="C81" s="487" t="s">
        <v>459</v>
      </c>
      <c r="D81" s="492">
        <v>0</v>
      </c>
      <c r="E81" s="532"/>
      <c r="F81" s="488"/>
      <c r="G81" s="488"/>
      <c r="I81" s="492">
        <v>0</v>
      </c>
      <c r="J81" s="489"/>
      <c r="K81" s="489"/>
      <c r="L81" s="490"/>
      <c r="M81" s="477"/>
      <c r="N81" s="477"/>
      <c r="O81" s="477"/>
      <c r="P81" s="477"/>
      <c r="Q81" s="477"/>
      <c r="R81" s="490"/>
      <c r="S81" s="490"/>
      <c r="V81" s="531"/>
      <c r="W81" s="468"/>
      <c r="X81" s="468"/>
      <c r="Y81" s="468"/>
      <c r="Z81" s="468"/>
      <c r="AA81" s="468"/>
      <c r="AB81" s="468"/>
      <c r="AC81" s="468"/>
      <c r="AD81" s="468"/>
    </row>
    <row r="82" spans="1:30" x14ac:dyDescent="0.2">
      <c r="A82" s="467"/>
      <c r="B82" s="486" t="s">
        <v>519</v>
      </c>
      <c r="C82" s="487" t="s">
        <v>459</v>
      </c>
      <c r="D82" s="492">
        <v>10</v>
      </c>
      <c r="E82" s="532"/>
      <c r="F82" s="488"/>
      <c r="G82" s="488"/>
      <c r="I82" s="492">
        <v>32</v>
      </c>
      <c r="J82" s="489"/>
      <c r="K82" s="489"/>
      <c r="L82" s="490"/>
      <c r="M82" s="477"/>
      <c r="N82" s="477"/>
      <c r="O82" s="477"/>
      <c r="P82" s="477"/>
      <c r="Q82" s="477"/>
      <c r="R82" s="490"/>
      <c r="S82" s="490"/>
      <c r="V82" s="531"/>
      <c r="W82" s="468"/>
      <c r="X82" s="468"/>
      <c r="Y82" s="468"/>
      <c r="Z82" s="468"/>
      <c r="AA82" s="468"/>
      <c r="AB82" s="468"/>
      <c r="AC82" s="468"/>
      <c r="AD82" s="468"/>
    </row>
    <row r="83" spans="1:30" x14ac:dyDescent="0.2">
      <c r="A83" s="467"/>
      <c r="B83" s="486" t="s">
        <v>520</v>
      </c>
      <c r="C83" s="487" t="s">
        <v>459</v>
      </c>
      <c r="D83" s="492">
        <v>-15</v>
      </c>
      <c r="E83" s="532"/>
      <c r="F83" s="488"/>
      <c r="G83" s="488"/>
      <c r="I83" s="492">
        <v>-48</v>
      </c>
      <c r="J83" s="489"/>
      <c r="K83" s="489"/>
      <c r="L83" s="490"/>
      <c r="M83" s="477"/>
      <c r="N83" s="477"/>
      <c r="O83" s="477"/>
      <c r="P83" s="477"/>
      <c r="Q83" s="477"/>
      <c r="R83" s="490"/>
      <c r="S83" s="490"/>
      <c r="V83" s="531"/>
      <c r="W83" s="468"/>
      <c r="X83" s="468"/>
      <c r="Y83" s="468"/>
      <c r="Z83" s="468"/>
      <c r="AA83" s="468"/>
      <c r="AB83" s="468"/>
      <c r="AC83" s="468"/>
      <c r="AD83" s="468"/>
    </row>
    <row r="84" spans="1:30" x14ac:dyDescent="0.2">
      <c r="A84" s="467"/>
      <c r="B84" s="486" t="s">
        <v>521</v>
      </c>
      <c r="C84" s="487" t="s">
        <v>459</v>
      </c>
      <c r="D84" s="492">
        <v>-30</v>
      </c>
      <c r="E84" s="532"/>
      <c r="F84" s="488"/>
      <c r="G84" s="488"/>
      <c r="I84" s="492">
        <v>-96</v>
      </c>
      <c r="J84" s="489"/>
      <c r="K84" s="489"/>
      <c r="L84" s="490"/>
      <c r="M84" s="477"/>
      <c r="N84" s="477"/>
      <c r="O84" s="477"/>
      <c r="P84" s="477"/>
      <c r="Q84" s="477"/>
      <c r="R84" s="490"/>
      <c r="S84" s="490"/>
      <c r="V84" s="531"/>
      <c r="W84" s="468"/>
      <c r="X84" s="468"/>
      <c r="Y84" s="468"/>
      <c r="Z84" s="468"/>
      <c r="AA84" s="468"/>
      <c r="AB84" s="468"/>
      <c r="AC84" s="468"/>
      <c r="AD84" s="468"/>
    </row>
    <row r="85" spans="1:30" x14ac:dyDescent="0.2">
      <c r="A85" s="467" t="s">
        <v>141</v>
      </c>
      <c r="B85" s="486" t="s">
        <v>139</v>
      </c>
      <c r="C85" s="487"/>
      <c r="D85" s="487">
        <v>30</v>
      </c>
      <c r="E85" s="487">
        <v>0.5</v>
      </c>
      <c r="F85" s="487">
        <f>D85*E85</f>
        <v>15</v>
      </c>
      <c r="G85" s="488"/>
      <c r="I85" s="487"/>
      <c r="J85" s="487"/>
      <c r="K85" s="487"/>
      <c r="L85" s="490"/>
      <c r="M85" s="477"/>
      <c r="N85" s="477"/>
      <c r="O85" s="477"/>
      <c r="P85" s="477"/>
      <c r="Q85" s="477"/>
      <c r="R85" s="490"/>
      <c r="S85" s="490"/>
      <c r="V85" s="531"/>
    </row>
    <row r="86" spans="1:30" x14ac:dyDescent="0.2">
      <c r="A86" s="467"/>
      <c r="B86" s="486" t="s">
        <v>522</v>
      </c>
      <c r="C86" s="487" t="s">
        <v>523</v>
      </c>
      <c r="D86" s="487">
        <v>30</v>
      </c>
      <c r="E86" s="487">
        <v>0.5</v>
      </c>
      <c r="F86" s="487">
        <f>D86*E86</f>
        <v>15</v>
      </c>
      <c r="G86" s="488"/>
      <c r="I86" s="487">
        <v>30</v>
      </c>
      <c r="J86" s="487"/>
      <c r="K86" s="487"/>
      <c r="L86" s="490"/>
      <c r="M86" s="477"/>
      <c r="N86" s="477"/>
      <c r="O86" s="477"/>
      <c r="P86" s="477"/>
      <c r="Q86" s="477"/>
      <c r="R86" s="490"/>
      <c r="S86" s="490"/>
      <c r="V86" s="531"/>
    </row>
    <row r="87" spans="1:30" customFormat="1" x14ac:dyDescent="0.2">
      <c r="A87" s="467"/>
      <c r="B87" s="486" t="s">
        <v>524</v>
      </c>
      <c r="C87" s="487" t="s">
        <v>523</v>
      </c>
      <c r="D87" s="487">
        <v>20</v>
      </c>
      <c r="E87" s="487">
        <v>0.5</v>
      </c>
      <c r="F87" s="487">
        <f>D87*E87</f>
        <v>10</v>
      </c>
      <c r="G87" s="488"/>
      <c r="H87" s="452"/>
      <c r="I87" s="487">
        <v>20</v>
      </c>
      <c r="J87" s="487"/>
      <c r="K87" s="487"/>
      <c r="L87" s="490"/>
      <c r="M87" s="477"/>
      <c r="N87" s="477"/>
      <c r="O87" s="477"/>
      <c r="P87" s="477"/>
      <c r="Q87" s="477"/>
      <c r="R87" s="490"/>
      <c r="S87" s="490"/>
      <c r="T87" s="456"/>
      <c r="U87" s="456"/>
      <c r="V87" s="531"/>
    </row>
    <row r="88" spans="1:30" ht="16.5" customHeight="1" x14ac:dyDescent="0.2">
      <c r="A88" s="526" t="s">
        <v>525</v>
      </c>
      <c r="B88" s="534"/>
      <c r="C88" s="535"/>
      <c r="D88" s="535"/>
      <c r="E88" s="535"/>
      <c r="F88" s="536" t="s">
        <v>526</v>
      </c>
      <c r="G88" s="536"/>
      <c r="H88" s="537"/>
      <c r="I88" s="535"/>
      <c r="J88" s="535"/>
      <c r="K88" s="535"/>
      <c r="L88" s="538"/>
      <c r="M88" s="539"/>
      <c r="N88" s="539"/>
      <c r="O88" s="539"/>
      <c r="P88" s="539"/>
      <c r="Q88" s="539"/>
      <c r="R88" s="538"/>
      <c r="S88" s="538"/>
      <c r="T88" s="528"/>
      <c r="U88" s="528"/>
      <c r="V88" s="540"/>
    </row>
    <row r="89" spans="1:30" x14ac:dyDescent="0.2">
      <c r="A89" s="467" t="s">
        <v>527</v>
      </c>
      <c r="B89" s="486" t="s">
        <v>528</v>
      </c>
      <c r="C89" s="487" t="s">
        <v>459</v>
      </c>
      <c r="D89" s="487">
        <v>5</v>
      </c>
      <c r="E89" s="532"/>
      <c r="F89" s="492">
        <v>50</v>
      </c>
      <c r="G89" s="492">
        <v>50</v>
      </c>
      <c r="I89" s="487">
        <v>5</v>
      </c>
      <c r="J89" s="487"/>
      <c r="K89" s="489"/>
      <c r="L89" s="490"/>
      <c r="M89" s="477"/>
      <c r="N89" s="477"/>
      <c r="O89" s="477"/>
      <c r="P89" s="477"/>
      <c r="Q89" s="477"/>
      <c r="R89" s="490"/>
      <c r="S89" s="490"/>
      <c r="V89" s="531"/>
    </row>
    <row r="90" spans="1:30" x14ac:dyDescent="0.2">
      <c r="A90" s="467" t="s">
        <v>149</v>
      </c>
      <c r="B90" s="486" t="s">
        <v>529</v>
      </c>
      <c r="C90" s="487" t="s">
        <v>459</v>
      </c>
      <c r="D90" s="487">
        <v>2</v>
      </c>
      <c r="E90" s="532"/>
      <c r="F90" s="492"/>
      <c r="G90" s="492"/>
      <c r="H90" s="452" t="s">
        <v>530</v>
      </c>
      <c r="I90" s="487"/>
      <c r="J90" s="487"/>
      <c r="K90" s="489"/>
      <c r="L90" s="490"/>
      <c r="M90" s="477"/>
      <c r="N90" s="477"/>
      <c r="O90" s="477"/>
      <c r="P90" s="477"/>
      <c r="Q90" s="477"/>
      <c r="R90" s="490"/>
      <c r="S90" s="490"/>
      <c r="V90" s="531"/>
    </row>
    <row r="91" spans="1:30" x14ac:dyDescent="0.2">
      <c r="A91" s="467" t="s">
        <v>152</v>
      </c>
      <c r="B91" s="486" t="s">
        <v>139</v>
      </c>
      <c r="C91" s="487"/>
      <c r="D91" s="487">
        <v>25</v>
      </c>
      <c r="E91" s="532"/>
      <c r="F91" s="492">
        <v>300</v>
      </c>
      <c r="G91" s="492">
        <v>50</v>
      </c>
      <c r="H91" s="452" t="s">
        <v>531</v>
      </c>
      <c r="I91" s="487"/>
      <c r="J91" s="487"/>
      <c r="K91" s="489"/>
      <c r="L91" s="490"/>
      <c r="M91" s="477"/>
      <c r="N91" s="477"/>
      <c r="O91" s="477"/>
      <c r="P91" s="477"/>
      <c r="Q91" s="477"/>
      <c r="R91" s="490"/>
      <c r="S91" s="490"/>
      <c r="V91" s="531"/>
    </row>
    <row r="92" spans="1:30" x14ac:dyDescent="0.2">
      <c r="A92" s="467"/>
      <c r="B92" s="486" t="s">
        <v>532</v>
      </c>
      <c r="C92" s="487" t="s">
        <v>459</v>
      </c>
      <c r="D92" s="487">
        <v>30</v>
      </c>
      <c r="E92" s="532"/>
      <c r="F92" s="492">
        <v>350</v>
      </c>
      <c r="G92" s="492">
        <v>50</v>
      </c>
      <c r="H92" s="452" t="s">
        <v>533</v>
      </c>
      <c r="I92" s="487">
        <v>30</v>
      </c>
      <c r="J92" s="487"/>
      <c r="K92" s="489"/>
      <c r="L92" s="490"/>
      <c r="M92" s="477"/>
      <c r="N92" s="477"/>
      <c r="O92" s="477"/>
      <c r="P92" s="477"/>
      <c r="Q92" s="477"/>
      <c r="R92" s="490"/>
      <c r="S92" s="490"/>
      <c r="V92" s="531"/>
    </row>
    <row r="93" spans="1:30" x14ac:dyDescent="0.2">
      <c r="A93" s="467"/>
      <c r="B93" s="486" t="s">
        <v>534</v>
      </c>
      <c r="C93" s="487" t="s">
        <v>459</v>
      </c>
      <c r="D93" s="487">
        <v>20</v>
      </c>
      <c r="E93" s="532"/>
      <c r="F93" s="492">
        <v>250</v>
      </c>
      <c r="G93" s="492">
        <v>50</v>
      </c>
      <c r="H93" s="452" t="s">
        <v>535</v>
      </c>
      <c r="I93" s="487">
        <v>20</v>
      </c>
      <c r="J93" s="487"/>
      <c r="K93" s="489"/>
      <c r="L93" s="490"/>
      <c r="M93" s="477"/>
      <c r="N93" s="477"/>
      <c r="O93" s="477"/>
      <c r="P93" s="477"/>
      <c r="Q93" s="477"/>
      <c r="R93" s="490"/>
      <c r="S93" s="490"/>
      <c r="V93" s="531"/>
    </row>
    <row r="94" spans="1:30" x14ac:dyDescent="0.2">
      <c r="A94" s="467"/>
      <c r="B94" s="486" t="s">
        <v>536</v>
      </c>
      <c r="C94" s="487" t="s">
        <v>459</v>
      </c>
      <c r="D94" s="492">
        <v>15</v>
      </c>
      <c r="E94" s="532"/>
      <c r="F94" s="492">
        <v>200</v>
      </c>
      <c r="G94" s="492">
        <v>50</v>
      </c>
      <c r="I94" s="492">
        <v>15</v>
      </c>
      <c r="J94" s="489"/>
      <c r="K94" s="489"/>
      <c r="L94" s="490"/>
      <c r="M94" s="477"/>
      <c r="N94" s="477"/>
      <c r="O94" s="477"/>
      <c r="P94" s="477"/>
      <c r="Q94" s="477"/>
      <c r="R94" s="490"/>
      <c r="S94" s="490"/>
      <c r="V94" s="531"/>
    </row>
    <row r="95" spans="1:30" x14ac:dyDescent="0.2">
      <c r="A95" s="467"/>
      <c r="B95" s="486" t="s">
        <v>537</v>
      </c>
      <c r="C95" s="487" t="s">
        <v>459</v>
      </c>
      <c r="D95" s="492">
        <v>10</v>
      </c>
      <c r="E95" s="532"/>
      <c r="F95" s="492">
        <v>100</v>
      </c>
      <c r="G95" s="492">
        <v>50</v>
      </c>
      <c r="I95" s="492">
        <v>10</v>
      </c>
      <c r="J95" s="489"/>
      <c r="K95" s="489"/>
      <c r="L95" s="490"/>
      <c r="M95" s="477"/>
      <c r="N95" s="477"/>
      <c r="O95" s="477"/>
      <c r="P95" s="477"/>
      <c r="Q95" s="477"/>
      <c r="R95" s="490"/>
      <c r="S95" s="490"/>
      <c r="V95" s="531"/>
    </row>
    <row r="96" spans="1:30" ht="16.5" customHeight="1" x14ac:dyDescent="0.2">
      <c r="A96" s="526" t="s">
        <v>154</v>
      </c>
      <c r="B96" s="534"/>
      <c r="C96" s="535"/>
      <c r="D96" s="536" t="s">
        <v>538</v>
      </c>
      <c r="E96" s="535"/>
      <c r="F96" s="536"/>
      <c r="G96" s="536"/>
      <c r="H96" s="537"/>
      <c r="I96" s="536"/>
      <c r="J96" s="536"/>
      <c r="K96" s="536"/>
      <c r="L96" s="538"/>
      <c r="M96" s="539"/>
      <c r="N96" s="539"/>
      <c r="O96" s="539"/>
      <c r="P96" s="539"/>
      <c r="Q96" s="539"/>
      <c r="R96" s="538"/>
      <c r="S96" s="538"/>
      <c r="T96" s="528"/>
      <c r="U96" s="528"/>
      <c r="V96" s="540"/>
    </row>
    <row r="97" spans="1:30" x14ac:dyDescent="0.2">
      <c r="A97" s="467" t="s">
        <v>539</v>
      </c>
      <c r="B97" s="468"/>
      <c r="C97" s="487"/>
      <c r="D97" s="541">
        <v>0.75</v>
      </c>
      <c r="E97" s="532"/>
      <c r="F97" s="488"/>
      <c r="G97" s="488"/>
      <c r="I97" s="487"/>
      <c r="J97" s="541"/>
      <c r="K97" s="489"/>
      <c r="L97" s="490"/>
      <c r="M97" s="477"/>
      <c r="N97" s="477"/>
      <c r="O97" s="477"/>
      <c r="P97" s="477"/>
      <c r="Q97" s="477"/>
      <c r="R97" s="490"/>
      <c r="S97" s="490"/>
      <c r="V97" s="531"/>
    </row>
    <row r="98" spans="1:30" x14ac:dyDescent="0.2">
      <c r="A98" s="467"/>
      <c r="B98" s="486" t="s">
        <v>157</v>
      </c>
      <c r="C98" s="487" t="s">
        <v>459</v>
      </c>
      <c r="D98" s="492">
        <v>20</v>
      </c>
      <c r="E98" s="532"/>
      <c r="F98" s="488"/>
      <c r="G98" s="488"/>
      <c r="I98" s="492">
        <v>20</v>
      </c>
      <c r="J98" s="489"/>
      <c r="K98" s="489"/>
      <c r="L98" s="490"/>
      <c r="M98" s="477"/>
      <c r="N98" s="477"/>
      <c r="O98" s="477"/>
      <c r="P98" s="477"/>
      <c r="Q98" s="477"/>
      <c r="R98" s="490"/>
      <c r="S98" s="490"/>
      <c r="V98" s="531"/>
    </row>
    <row r="99" spans="1:30" s="468" customFormat="1" x14ac:dyDescent="0.2">
      <c r="A99" s="467"/>
      <c r="B99" s="486" t="s">
        <v>158</v>
      </c>
      <c r="C99" s="487" t="s">
        <v>459</v>
      </c>
      <c r="D99" s="492">
        <v>-10</v>
      </c>
      <c r="E99" s="532"/>
      <c r="F99" s="488"/>
      <c r="G99" s="488"/>
      <c r="H99" s="452"/>
      <c r="I99" s="492">
        <v>-10</v>
      </c>
      <c r="J99" s="489"/>
      <c r="K99" s="489"/>
      <c r="L99" s="490"/>
      <c r="M99" s="477"/>
      <c r="N99" s="477"/>
      <c r="O99" s="477"/>
      <c r="P99" s="477"/>
      <c r="Q99" s="477"/>
      <c r="R99" s="490"/>
      <c r="S99" s="490"/>
      <c r="T99" s="456"/>
      <c r="U99" s="456"/>
      <c r="V99" s="531"/>
      <c r="W99"/>
      <c r="X99"/>
      <c r="Y99"/>
      <c r="Z99"/>
      <c r="AA99"/>
      <c r="AB99"/>
      <c r="AC99"/>
      <c r="AD99"/>
    </row>
    <row r="100" spans="1:30" s="468" customFormat="1" x14ac:dyDescent="0.2">
      <c r="A100" s="467" t="s">
        <v>159</v>
      </c>
      <c r="B100" s="486" t="s">
        <v>540</v>
      </c>
      <c r="C100" s="487" t="s">
        <v>459</v>
      </c>
      <c r="D100" s="492">
        <v>5</v>
      </c>
      <c r="E100" s="532"/>
      <c r="F100" s="488"/>
      <c r="G100" s="492">
        <v>50</v>
      </c>
      <c r="H100" s="452"/>
      <c r="I100" s="492"/>
      <c r="J100" s="489"/>
      <c r="K100" s="489"/>
      <c r="L100" s="490"/>
      <c r="M100" s="477"/>
      <c r="N100" s="477"/>
      <c r="O100" s="477"/>
      <c r="P100" s="477"/>
      <c r="Q100" s="477"/>
      <c r="R100" s="490"/>
      <c r="S100" s="490"/>
      <c r="T100" s="456"/>
      <c r="U100" s="456"/>
      <c r="V100" s="531"/>
      <c r="W100"/>
      <c r="X100"/>
      <c r="Y100"/>
      <c r="Z100"/>
      <c r="AA100"/>
      <c r="AB100"/>
      <c r="AC100"/>
      <c r="AD100"/>
    </row>
    <row r="101" spans="1:30" x14ac:dyDescent="0.2">
      <c r="A101" s="467" t="s">
        <v>162</v>
      </c>
      <c r="B101" s="486" t="s">
        <v>139</v>
      </c>
      <c r="C101" s="487"/>
      <c r="D101" s="492">
        <v>0</v>
      </c>
      <c r="E101" s="532"/>
      <c r="F101" s="488"/>
      <c r="G101" s="495"/>
      <c r="I101" s="492"/>
      <c r="J101" s="489"/>
      <c r="K101" s="489"/>
      <c r="L101" s="490"/>
      <c r="M101" s="477"/>
      <c r="N101" s="477"/>
      <c r="O101" s="477"/>
      <c r="P101" s="477"/>
      <c r="Q101" s="477"/>
      <c r="R101" s="490"/>
      <c r="S101" s="490"/>
      <c r="V101" s="531"/>
    </row>
    <row r="102" spans="1:30" x14ac:dyDescent="0.2">
      <c r="A102" s="467"/>
      <c r="B102" s="486" t="s">
        <v>541</v>
      </c>
      <c r="C102" s="487"/>
      <c r="D102" s="492">
        <v>0</v>
      </c>
      <c r="E102" s="532"/>
      <c r="F102" s="488"/>
      <c r="G102" s="495"/>
      <c r="I102" s="492"/>
      <c r="J102" s="489"/>
      <c r="K102" s="489"/>
      <c r="L102" s="490"/>
      <c r="M102" s="477"/>
      <c r="N102" s="477"/>
      <c r="O102" s="477"/>
      <c r="P102" s="477"/>
      <c r="Q102" s="477"/>
      <c r="R102" s="490"/>
      <c r="S102" s="490"/>
      <c r="V102" s="531"/>
      <c r="W102" s="468"/>
      <c r="X102" s="468"/>
      <c r="Y102" s="468"/>
      <c r="Z102" s="468"/>
      <c r="AA102" s="468"/>
      <c r="AB102" s="468"/>
      <c r="AC102" s="468"/>
      <c r="AD102" s="468"/>
    </row>
    <row r="103" spans="1:30" x14ac:dyDescent="0.2">
      <c r="A103" s="467"/>
      <c r="B103" s="486" t="s">
        <v>542</v>
      </c>
      <c r="C103" s="487" t="s">
        <v>459</v>
      </c>
      <c r="D103" s="492">
        <v>40</v>
      </c>
      <c r="E103" s="532"/>
      <c r="F103" s="488"/>
      <c r="G103" s="492">
        <v>50</v>
      </c>
      <c r="I103" s="492">
        <v>60</v>
      </c>
      <c r="J103" s="489"/>
      <c r="K103" s="489"/>
      <c r="L103" s="490"/>
      <c r="M103" s="477"/>
      <c r="N103" s="477"/>
      <c r="O103" s="477"/>
      <c r="P103" s="477"/>
      <c r="Q103" s="477"/>
      <c r="R103" s="490"/>
      <c r="S103" s="490"/>
      <c r="U103" s="542"/>
      <c r="V103" s="531"/>
      <c r="W103" s="468"/>
      <c r="X103" s="468"/>
      <c r="Y103" s="468"/>
      <c r="Z103" s="468"/>
      <c r="AA103" s="468"/>
      <c r="AB103" s="468"/>
      <c r="AC103" s="468"/>
      <c r="AD103" s="468"/>
    </row>
    <row r="104" spans="1:30" x14ac:dyDescent="0.2">
      <c r="A104" s="467"/>
      <c r="B104" s="486" t="s">
        <v>543</v>
      </c>
      <c r="C104" s="456" t="s">
        <v>459</v>
      </c>
      <c r="D104" s="490">
        <v>60</v>
      </c>
      <c r="E104" s="543"/>
      <c r="F104" s="544"/>
      <c r="G104" s="490">
        <v>50</v>
      </c>
      <c r="I104" s="490">
        <v>60</v>
      </c>
      <c r="J104" s="490"/>
      <c r="K104" s="489"/>
      <c r="L104" s="490"/>
      <c r="M104" s="477"/>
      <c r="N104" s="477"/>
      <c r="O104" s="477"/>
      <c r="P104" s="477"/>
      <c r="Q104" s="477"/>
      <c r="R104" s="490"/>
      <c r="S104" s="490"/>
      <c r="U104" s="542"/>
      <c r="V104" s="531"/>
      <c r="W104" s="468"/>
      <c r="X104" s="468"/>
      <c r="Y104" s="468"/>
      <c r="Z104" s="468"/>
      <c r="AA104" s="468"/>
      <c r="AB104" s="468"/>
      <c r="AC104" s="468"/>
      <c r="AD104" s="468"/>
    </row>
    <row r="105" spans="1:30" x14ac:dyDescent="0.2">
      <c r="A105" s="467"/>
      <c r="B105" s="486" t="s">
        <v>544</v>
      </c>
      <c r="C105" s="456" t="s">
        <v>459</v>
      </c>
      <c r="D105" s="490">
        <f>D104*D$97</f>
        <v>45</v>
      </c>
      <c r="E105" s="543"/>
      <c r="F105" s="544"/>
      <c r="G105" s="490">
        <f>G104</f>
        <v>50</v>
      </c>
      <c r="I105" s="490"/>
      <c r="J105" s="490"/>
      <c r="K105" s="489"/>
      <c r="L105" s="490"/>
      <c r="M105" s="477"/>
      <c r="N105" s="477"/>
      <c r="O105" s="477"/>
      <c r="P105" s="477"/>
      <c r="Q105" s="477"/>
      <c r="R105" s="490"/>
      <c r="S105" s="490"/>
      <c r="U105" s="542"/>
      <c r="V105" s="531"/>
      <c r="W105" s="468"/>
      <c r="X105" s="468"/>
      <c r="Y105" s="468"/>
      <c r="Z105" s="468"/>
      <c r="AA105" s="468"/>
      <c r="AB105" s="468"/>
      <c r="AC105" s="468"/>
      <c r="AD105" s="468"/>
    </row>
    <row r="106" spans="1:30" x14ac:dyDescent="0.2">
      <c r="A106" s="467"/>
      <c r="B106" s="486" t="s">
        <v>545</v>
      </c>
      <c r="C106" s="487" t="s">
        <v>459</v>
      </c>
      <c r="D106" s="492">
        <v>40</v>
      </c>
      <c r="E106" s="532"/>
      <c r="F106" s="488"/>
      <c r="G106" s="490">
        <f>G105</f>
        <v>50</v>
      </c>
      <c r="I106" s="492">
        <v>25</v>
      </c>
      <c r="J106" s="489"/>
      <c r="K106" s="489"/>
      <c r="L106" s="490"/>
      <c r="M106" s="477"/>
      <c r="N106" s="477"/>
      <c r="O106" s="477"/>
      <c r="P106" s="477"/>
      <c r="Q106" s="477"/>
      <c r="R106" s="490"/>
      <c r="S106" s="490"/>
      <c r="U106" s="542"/>
      <c r="V106" s="531"/>
    </row>
    <row r="107" spans="1:30" s="468" customFormat="1" x14ac:dyDescent="0.2">
      <c r="A107" s="467"/>
      <c r="B107" s="486" t="s">
        <v>546</v>
      </c>
      <c r="C107" s="487" t="s">
        <v>459</v>
      </c>
      <c r="D107" s="492">
        <v>10</v>
      </c>
      <c r="E107" s="532"/>
      <c r="F107" s="488"/>
      <c r="G107" s="490">
        <f>G106</f>
        <v>50</v>
      </c>
      <c r="H107" s="452" t="s">
        <v>547</v>
      </c>
      <c r="I107" s="492"/>
      <c r="J107" s="490"/>
      <c r="K107" s="489"/>
      <c r="L107" s="490"/>
      <c r="M107" s="477"/>
      <c r="N107" s="477"/>
      <c r="O107" s="477"/>
      <c r="P107" s="477"/>
      <c r="Q107" s="477"/>
      <c r="R107" s="490"/>
      <c r="S107" s="490"/>
      <c r="T107" s="456"/>
      <c r="U107" s="542"/>
      <c r="V107" s="531"/>
      <c r="W107"/>
      <c r="X107"/>
      <c r="Y107"/>
      <c r="Z107"/>
      <c r="AA107"/>
      <c r="AB107"/>
      <c r="AC107"/>
      <c r="AD107"/>
    </row>
    <row r="108" spans="1:30" x14ac:dyDescent="0.2">
      <c r="A108" s="467" t="s">
        <v>548</v>
      </c>
      <c r="B108" s="486" t="s">
        <v>139</v>
      </c>
      <c r="C108" s="487"/>
      <c r="D108" s="492">
        <v>0</v>
      </c>
      <c r="E108" s="532"/>
      <c r="F108" s="488"/>
      <c r="G108" s="545"/>
      <c r="I108" s="492"/>
      <c r="J108" s="489"/>
      <c r="K108" s="489"/>
      <c r="L108" s="490"/>
      <c r="M108" s="477"/>
      <c r="N108" s="477"/>
      <c r="O108" s="477"/>
      <c r="P108" s="477"/>
      <c r="Q108" s="477"/>
      <c r="R108" s="490"/>
      <c r="S108" s="490"/>
      <c r="U108" s="542"/>
      <c r="V108" s="531"/>
    </row>
    <row r="109" spans="1:30" x14ac:dyDescent="0.2">
      <c r="A109" s="467"/>
      <c r="B109" s="486" t="s">
        <v>541</v>
      </c>
      <c r="C109" s="487"/>
      <c r="D109" s="492">
        <v>0</v>
      </c>
      <c r="E109" s="532"/>
      <c r="F109" s="488"/>
      <c r="G109" s="495"/>
      <c r="I109" s="492"/>
      <c r="J109" s="489"/>
      <c r="K109" s="489"/>
      <c r="L109" s="490"/>
      <c r="M109" s="477"/>
      <c r="N109" s="477"/>
      <c r="O109" s="477"/>
      <c r="P109" s="477"/>
      <c r="Q109" s="477"/>
      <c r="R109" s="490"/>
      <c r="S109" s="490"/>
      <c r="U109" s="542"/>
      <c r="V109" s="531"/>
    </row>
    <row r="110" spans="1:30" x14ac:dyDescent="0.2">
      <c r="A110" s="467"/>
      <c r="B110" s="486" t="s">
        <v>542</v>
      </c>
      <c r="C110" s="487" t="s">
        <v>459</v>
      </c>
      <c r="D110" s="492">
        <f>0.8*D103</f>
        <v>32</v>
      </c>
      <c r="E110" s="532"/>
      <c r="F110" s="488"/>
      <c r="G110" s="492">
        <v>50</v>
      </c>
      <c r="I110" s="492">
        <v>40</v>
      </c>
      <c r="J110" s="489"/>
      <c r="K110" s="489"/>
      <c r="L110" s="490"/>
      <c r="M110" s="477"/>
      <c r="N110" s="477"/>
      <c r="O110" s="477"/>
      <c r="P110" s="477"/>
      <c r="Q110" s="477"/>
      <c r="R110" s="490"/>
      <c r="S110" s="490"/>
      <c r="U110" s="542"/>
      <c r="V110" s="531"/>
      <c r="W110" s="468"/>
      <c r="X110" s="468"/>
      <c r="Y110" s="468"/>
      <c r="Z110" s="468"/>
      <c r="AA110" s="468"/>
      <c r="AB110" s="468"/>
      <c r="AC110" s="468"/>
      <c r="AD110" s="468"/>
    </row>
    <row r="111" spans="1:30" x14ac:dyDescent="0.2">
      <c r="A111" s="467"/>
      <c r="B111" s="486" t="s">
        <v>549</v>
      </c>
      <c r="C111" s="487" t="s">
        <v>459</v>
      </c>
      <c r="D111" s="492">
        <v>20</v>
      </c>
      <c r="E111" s="532"/>
      <c r="F111" s="488"/>
      <c r="G111" s="492">
        <v>25</v>
      </c>
      <c r="I111" s="492"/>
      <c r="J111" s="489"/>
      <c r="K111" s="489"/>
      <c r="L111" s="490"/>
      <c r="M111" s="477"/>
      <c r="N111" s="477"/>
      <c r="O111" s="477"/>
      <c r="P111" s="477"/>
      <c r="Q111" s="477"/>
      <c r="R111" s="490"/>
      <c r="S111" s="490"/>
      <c r="U111" s="542"/>
      <c r="V111" s="531"/>
      <c r="W111" s="468"/>
      <c r="X111" s="468"/>
      <c r="Y111" s="468"/>
      <c r="Z111" s="468"/>
      <c r="AA111" s="468"/>
      <c r="AB111" s="468"/>
      <c r="AC111" s="468"/>
      <c r="AD111" s="468"/>
    </row>
    <row r="112" spans="1:30" x14ac:dyDescent="0.2">
      <c r="A112" s="467"/>
      <c r="B112" s="486" t="s">
        <v>550</v>
      </c>
      <c r="C112" s="487" t="s">
        <v>459</v>
      </c>
      <c r="D112" s="492">
        <f>0.8*D104</f>
        <v>48</v>
      </c>
      <c r="E112" s="532"/>
      <c r="F112" s="488"/>
      <c r="G112" s="492">
        <v>50</v>
      </c>
      <c r="I112" s="492">
        <v>50</v>
      </c>
      <c r="J112" s="489"/>
      <c r="K112" s="489"/>
      <c r="L112" s="490"/>
      <c r="M112" s="477"/>
      <c r="N112" s="477"/>
      <c r="O112" s="477"/>
      <c r="P112" s="477"/>
      <c r="Q112" s="477"/>
      <c r="R112" s="490"/>
      <c r="S112" s="490"/>
      <c r="U112" s="542"/>
      <c r="V112" s="531"/>
    </row>
    <row r="113" spans="1:30" x14ac:dyDescent="0.2">
      <c r="A113" s="467"/>
      <c r="B113" s="486" t="s">
        <v>551</v>
      </c>
      <c r="C113" s="456" t="s">
        <v>459</v>
      </c>
      <c r="D113" s="492">
        <f>0.8*D105</f>
        <v>36</v>
      </c>
      <c r="E113" s="543"/>
      <c r="F113" s="544"/>
      <c r="G113" s="490">
        <v>50</v>
      </c>
      <c r="I113" s="490"/>
      <c r="J113" s="490"/>
      <c r="K113" s="489"/>
      <c r="L113" s="490"/>
      <c r="M113" s="477"/>
      <c r="N113" s="477"/>
      <c r="O113" s="477"/>
      <c r="P113" s="477"/>
      <c r="Q113" s="477"/>
      <c r="R113" s="490"/>
      <c r="S113" s="490"/>
      <c r="U113" s="542"/>
      <c r="V113" s="531"/>
      <c r="W113" s="468"/>
      <c r="X113" s="468"/>
      <c r="Y113" s="468"/>
      <c r="Z113" s="468"/>
      <c r="AA113" s="468"/>
      <c r="AB113" s="468"/>
      <c r="AC113" s="468"/>
      <c r="AD113" s="468"/>
    </row>
    <row r="114" spans="1:30" x14ac:dyDescent="0.2">
      <c r="A114" s="467"/>
      <c r="B114" s="486" t="s">
        <v>545</v>
      </c>
      <c r="C114" s="487" t="s">
        <v>459</v>
      </c>
      <c r="D114" s="492">
        <f>0.8*D106</f>
        <v>32</v>
      </c>
      <c r="E114" s="532"/>
      <c r="F114" s="488"/>
      <c r="G114" s="492">
        <v>50</v>
      </c>
      <c r="I114" s="492"/>
      <c r="J114" s="489"/>
      <c r="K114" s="489"/>
      <c r="L114" s="490"/>
      <c r="M114" s="477"/>
      <c r="N114" s="477"/>
      <c r="O114" s="477"/>
      <c r="P114" s="477"/>
      <c r="Q114" s="477"/>
      <c r="R114" s="490"/>
      <c r="S114" s="490"/>
      <c r="U114" s="542"/>
      <c r="V114" s="531"/>
    </row>
    <row r="115" spans="1:30" x14ac:dyDescent="0.2">
      <c r="A115" s="467"/>
      <c r="B115" s="486" t="s">
        <v>546</v>
      </c>
      <c r="C115" s="487" t="s">
        <v>459</v>
      </c>
      <c r="D115" s="492">
        <f>0.8*D107</f>
        <v>8</v>
      </c>
      <c r="E115" s="532"/>
      <c r="F115" s="488"/>
      <c r="G115" s="492">
        <v>50</v>
      </c>
      <c r="H115" s="452" t="s">
        <v>535</v>
      </c>
      <c r="I115" s="492"/>
      <c r="J115" s="490"/>
      <c r="K115" s="489"/>
      <c r="L115" s="490"/>
      <c r="M115" s="477"/>
      <c r="N115" s="477"/>
      <c r="O115" s="477"/>
      <c r="P115" s="477"/>
      <c r="Q115" s="477"/>
      <c r="R115" s="490"/>
      <c r="S115" s="490"/>
      <c r="U115" s="542"/>
      <c r="V115" s="531"/>
    </row>
    <row r="116" spans="1:30" x14ac:dyDescent="0.2">
      <c r="A116" s="467" t="s">
        <v>552</v>
      </c>
      <c r="B116" s="486" t="s">
        <v>139</v>
      </c>
      <c r="C116" s="487"/>
      <c r="D116" s="492">
        <v>0</v>
      </c>
      <c r="E116" s="532"/>
      <c r="F116" s="488"/>
      <c r="G116" s="546"/>
      <c r="I116" s="492"/>
      <c r="J116" s="489"/>
      <c r="K116" s="489"/>
      <c r="L116" s="490"/>
      <c r="M116" s="477"/>
      <c r="N116" s="477"/>
      <c r="O116" s="477"/>
      <c r="P116" s="477"/>
      <c r="Q116" s="477"/>
      <c r="R116" s="490"/>
      <c r="S116" s="490"/>
      <c r="U116" s="542"/>
      <c r="V116" s="531"/>
    </row>
    <row r="117" spans="1:30" x14ac:dyDescent="0.2">
      <c r="A117" s="467"/>
      <c r="B117" s="486" t="s">
        <v>541</v>
      </c>
      <c r="C117" s="487"/>
      <c r="D117" s="492">
        <v>0</v>
      </c>
      <c r="E117" s="532"/>
      <c r="F117" s="488"/>
      <c r="G117" s="495"/>
      <c r="I117" s="492"/>
      <c r="J117" s="489"/>
      <c r="K117" s="489"/>
      <c r="L117" s="490"/>
      <c r="M117" s="477"/>
      <c r="N117" s="477"/>
      <c r="O117" s="477"/>
      <c r="P117" s="477"/>
      <c r="Q117" s="477"/>
      <c r="R117" s="490"/>
      <c r="S117" s="490"/>
      <c r="U117" s="542"/>
      <c r="V117" s="531"/>
    </row>
    <row r="118" spans="1:30" x14ac:dyDescent="0.2">
      <c r="A118" s="467"/>
      <c r="B118" s="486" t="s">
        <v>553</v>
      </c>
      <c r="C118" s="487" t="s">
        <v>554</v>
      </c>
      <c r="D118" s="492">
        <v>20</v>
      </c>
      <c r="E118" s="532"/>
      <c r="F118" s="488"/>
      <c r="G118" s="545">
        <v>25</v>
      </c>
      <c r="H118" s="494"/>
      <c r="I118" s="492"/>
      <c r="J118" s="489"/>
      <c r="K118" s="489"/>
      <c r="L118" s="490"/>
      <c r="M118" s="477"/>
      <c r="N118" s="477"/>
      <c r="O118" s="477"/>
      <c r="P118" s="477"/>
      <c r="Q118" s="477"/>
      <c r="R118" s="490"/>
      <c r="S118" s="490"/>
      <c r="U118" s="542"/>
      <c r="V118" s="531"/>
    </row>
    <row r="119" spans="1:30" x14ac:dyDescent="0.2">
      <c r="A119" s="467"/>
      <c r="B119" s="486" t="s">
        <v>555</v>
      </c>
      <c r="C119" s="487" t="s">
        <v>554</v>
      </c>
      <c r="D119" s="492">
        <v>0</v>
      </c>
      <c r="E119" s="532"/>
      <c r="F119" s="488"/>
      <c r="G119" s="545">
        <v>25</v>
      </c>
      <c r="H119" s="494"/>
      <c r="I119" s="492"/>
      <c r="J119" s="489"/>
      <c r="K119" s="489"/>
      <c r="L119" s="490"/>
      <c r="M119" s="477"/>
      <c r="N119" s="477"/>
      <c r="O119" s="477"/>
      <c r="P119" s="477"/>
      <c r="Q119" s="477"/>
      <c r="R119" s="490"/>
      <c r="S119" s="490"/>
      <c r="U119" s="542"/>
      <c r="V119" s="531"/>
    </row>
    <row r="120" spans="1:30" x14ac:dyDescent="0.2">
      <c r="A120" s="467"/>
      <c r="B120" s="486" t="s">
        <v>556</v>
      </c>
      <c r="C120" s="487" t="s">
        <v>554</v>
      </c>
      <c r="D120" s="492">
        <f>20*2</f>
        <v>40</v>
      </c>
      <c r="E120" s="532"/>
      <c r="F120" s="488"/>
      <c r="G120" s="545">
        <v>50</v>
      </c>
      <c r="H120" s="494"/>
      <c r="I120" s="492">
        <v>20</v>
      </c>
      <c r="J120" s="489"/>
      <c r="K120" s="489"/>
      <c r="L120" s="490"/>
      <c r="M120" s="477"/>
      <c r="N120" s="477"/>
      <c r="O120" s="477"/>
      <c r="P120" s="477"/>
      <c r="Q120" s="477"/>
      <c r="R120" s="490"/>
      <c r="S120" s="490"/>
      <c r="U120" s="542"/>
      <c r="V120" s="531"/>
    </row>
    <row r="121" spans="1:30" x14ac:dyDescent="0.2">
      <c r="A121" s="467" t="s">
        <v>168</v>
      </c>
      <c r="B121" s="486" t="s">
        <v>139</v>
      </c>
      <c r="C121" s="487"/>
      <c r="D121" s="492">
        <v>0</v>
      </c>
      <c r="E121" s="532"/>
      <c r="F121" s="488"/>
      <c r="G121" s="546"/>
      <c r="I121" s="492"/>
      <c r="J121" s="489"/>
      <c r="K121" s="489"/>
      <c r="L121" s="490"/>
      <c r="M121" s="477"/>
      <c r="N121" s="477"/>
      <c r="O121" s="477"/>
      <c r="P121" s="477"/>
      <c r="Q121" s="477"/>
      <c r="R121" s="490"/>
      <c r="S121" s="490"/>
      <c r="U121" s="542"/>
      <c r="V121" s="531"/>
    </row>
    <row r="122" spans="1:30" x14ac:dyDescent="0.2">
      <c r="A122" s="467"/>
      <c r="B122" s="486" t="s">
        <v>541</v>
      </c>
      <c r="C122" s="487"/>
      <c r="D122" s="492">
        <v>0</v>
      </c>
      <c r="E122" s="532"/>
      <c r="F122" s="488"/>
      <c r="G122" s="495"/>
      <c r="I122" s="492"/>
      <c r="J122" s="489"/>
      <c r="K122" s="489"/>
      <c r="L122" s="490"/>
      <c r="M122" s="477"/>
      <c r="N122" s="477"/>
      <c r="O122" s="477"/>
      <c r="P122" s="477"/>
      <c r="Q122" s="477"/>
      <c r="R122" s="490"/>
      <c r="S122" s="490"/>
      <c r="U122" s="542"/>
      <c r="V122" s="531"/>
    </row>
    <row r="123" spans="1:30" x14ac:dyDescent="0.2">
      <c r="A123" s="467"/>
      <c r="B123" s="486" t="s">
        <v>557</v>
      </c>
      <c r="C123" s="487" t="s">
        <v>558</v>
      </c>
      <c r="D123" s="492">
        <v>50</v>
      </c>
      <c r="E123" s="532"/>
      <c r="F123" s="488"/>
      <c r="G123" s="545">
        <v>25</v>
      </c>
      <c r="H123" s="494"/>
      <c r="I123" s="492"/>
      <c r="J123" s="489"/>
      <c r="K123" s="489"/>
      <c r="L123" s="490"/>
      <c r="M123" s="477"/>
      <c r="N123" s="477"/>
      <c r="O123" s="477"/>
      <c r="P123" s="477"/>
      <c r="Q123" s="477"/>
      <c r="R123" s="490"/>
      <c r="S123" s="490"/>
      <c r="U123" s="542"/>
      <c r="V123" s="531"/>
    </row>
    <row r="124" spans="1:30" x14ac:dyDescent="0.2">
      <c r="A124" s="467"/>
      <c r="B124" s="486" t="s">
        <v>559</v>
      </c>
      <c r="C124" s="487" t="s">
        <v>558</v>
      </c>
      <c r="D124" s="492">
        <v>500</v>
      </c>
      <c r="E124" s="532"/>
      <c r="F124" s="488"/>
      <c r="G124" s="545">
        <v>25</v>
      </c>
      <c r="I124" s="492"/>
      <c r="J124" s="489"/>
      <c r="K124" s="489"/>
      <c r="L124" s="490"/>
      <c r="M124" s="477"/>
      <c r="N124" s="477"/>
      <c r="O124" s="477"/>
      <c r="P124" s="477"/>
      <c r="Q124" s="477"/>
      <c r="R124" s="490"/>
      <c r="S124" s="490"/>
      <c r="U124" s="542"/>
      <c r="V124" s="531"/>
    </row>
    <row r="125" spans="1:30" x14ac:dyDescent="0.2">
      <c r="A125" s="467"/>
      <c r="B125" s="486" t="s">
        <v>560</v>
      </c>
      <c r="C125" s="487" t="s">
        <v>558</v>
      </c>
      <c r="D125" s="492">
        <v>700</v>
      </c>
      <c r="E125" s="532"/>
      <c r="F125" s="488"/>
      <c r="G125" s="545">
        <v>50</v>
      </c>
      <c r="H125" s="452" t="s">
        <v>561</v>
      </c>
      <c r="I125" s="492">
        <v>20</v>
      </c>
      <c r="J125" s="489"/>
      <c r="K125" s="489"/>
      <c r="L125" s="490"/>
      <c r="M125" s="477"/>
      <c r="N125" s="477"/>
      <c r="O125" s="477"/>
      <c r="P125" s="477"/>
      <c r="Q125" s="477"/>
      <c r="R125" s="490"/>
      <c r="S125" s="490"/>
      <c r="U125" s="542"/>
      <c r="V125" s="531"/>
    </row>
    <row r="126" spans="1:30" x14ac:dyDescent="0.2">
      <c r="A126" s="467" t="s">
        <v>562</v>
      </c>
      <c r="B126" s="486" t="s">
        <v>139</v>
      </c>
      <c r="C126" s="487"/>
      <c r="D126" s="492">
        <v>0</v>
      </c>
      <c r="E126" s="532"/>
      <c r="F126" s="488"/>
      <c r="G126" s="546"/>
      <c r="I126" s="492"/>
      <c r="J126" s="489"/>
      <c r="K126" s="489"/>
      <c r="L126" s="490"/>
      <c r="M126" s="477"/>
      <c r="N126" s="477"/>
      <c r="O126" s="477"/>
      <c r="P126" s="477"/>
      <c r="Q126" s="477"/>
      <c r="R126" s="490"/>
      <c r="S126" s="490"/>
      <c r="U126" s="542"/>
      <c r="V126" s="531"/>
    </row>
    <row r="127" spans="1:30" x14ac:dyDescent="0.2">
      <c r="A127" s="467"/>
      <c r="B127" s="486" t="s">
        <v>541</v>
      </c>
      <c r="C127" s="487"/>
      <c r="D127" s="492">
        <v>0</v>
      </c>
      <c r="E127" s="532"/>
      <c r="F127" s="488"/>
      <c r="G127" s="495"/>
      <c r="I127" s="492"/>
      <c r="J127" s="489"/>
      <c r="K127" s="489"/>
      <c r="L127" s="490"/>
      <c r="M127" s="477"/>
      <c r="N127" s="477"/>
      <c r="O127" s="477"/>
      <c r="P127" s="477"/>
      <c r="Q127" s="477"/>
      <c r="R127" s="490"/>
      <c r="S127" s="490"/>
      <c r="U127" s="542"/>
      <c r="V127" s="531"/>
    </row>
    <row r="128" spans="1:30" x14ac:dyDescent="0.2">
      <c r="A128" s="467"/>
      <c r="B128" s="486" t="s">
        <v>563</v>
      </c>
      <c r="C128" s="487" t="s">
        <v>459</v>
      </c>
      <c r="D128" s="492">
        <v>10</v>
      </c>
      <c r="E128" s="532"/>
      <c r="F128" s="488"/>
      <c r="G128" s="492">
        <v>20</v>
      </c>
      <c r="I128" s="492"/>
      <c r="J128" s="489"/>
      <c r="K128" s="489"/>
      <c r="L128" s="490"/>
      <c r="M128" s="477"/>
      <c r="N128" s="477"/>
      <c r="O128" s="477"/>
      <c r="P128" s="477"/>
      <c r="Q128" s="477"/>
      <c r="R128" s="490"/>
      <c r="S128" s="490"/>
      <c r="U128" s="542"/>
      <c r="V128" s="531"/>
    </row>
    <row r="129" spans="1:22" x14ac:dyDescent="0.2">
      <c r="A129" s="467"/>
      <c r="B129" s="486" t="s">
        <v>564</v>
      </c>
      <c r="C129" s="487" t="s">
        <v>459</v>
      </c>
      <c r="D129" s="492">
        <v>2</v>
      </c>
      <c r="E129" s="532"/>
      <c r="F129" s="488"/>
      <c r="G129" s="492">
        <v>15</v>
      </c>
      <c r="I129" s="492"/>
      <c r="J129" s="489"/>
      <c r="K129" s="489"/>
      <c r="L129" s="490"/>
      <c r="M129" s="477"/>
      <c r="N129" s="477"/>
      <c r="O129" s="477"/>
      <c r="P129" s="477"/>
      <c r="Q129" s="477"/>
      <c r="R129" s="490"/>
      <c r="S129" s="490"/>
      <c r="U129" s="542"/>
      <c r="V129" s="531"/>
    </row>
    <row r="130" spans="1:22" x14ac:dyDescent="0.2">
      <c r="A130" s="467"/>
      <c r="B130" s="486" t="s">
        <v>565</v>
      </c>
      <c r="C130" s="487" t="s">
        <v>459</v>
      </c>
      <c r="D130" s="492">
        <v>1</v>
      </c>
      <c r="E130" s="532"/>
      <c r="F130" s="488"/>
      <c r="G130" s="492">
        <v>10</v>
      </c>
      <c r="H130" s="452" t="s">
        <v>566</v>
      </c>
      <c r="I130" s="492"/>
      <c r="J130" s="489"/>
      <c r="K130" s="489"/>
      <c r="L130" s="490"/>
      <c r="M130" s="477"/>
      <c r="N130" s="477"/>
      <c r="O130" s="477"/>
      <c r="P130" s="477"/>
      <c r="Q130" s="477"/>
      <c r="R130" s="490"/>
      <c r="S130" s="490"/>
      <c r="U130" s="542"/>
      <c r="V130" s="531"/>
    </row>
    <row r="131" spans="1:22" ht="16.5" customHeight="1" x14ac:dyDescent="0.2">
      <c r="A131" s="526" t="s">
        <v>176</v>
      </c>
      <c r="B131" s="534"/>
      <c r="C131" s="535"/>
      <c r="D131" s="536"/>
      <c r="E131" s="535"/>
      <c r="F131" s="536"/>
      <c r="G131" s="547"/>
      <c r="H131" s="537"/>
      <c r="I131" s="536"/>
      <c r="J131" s="536"/>
      <c r="K131" s="536"/>
      <c r="L131" s="538"/>
      <c r="M131" s="539"/>
      <c r="N131" s="539"/>
      <c r="O131" s="539"/>
      <c r="P131" s="539"/>
      <c r="Q131" s="539"/>
      <c r="R131" s="538"/>
      <c r="S131" s="538"/>
      <c r="T131" s="528"/>
      <c r="U131" s="548"/>
      <c r="V131" s="540"/>
    </row>
    <row r="132" spans="1:22" x14ac:dyDescent="0.2">
      <c r="A132" s="467" t="s">
        <v>178</v>
      </c>
      <c r="B132" s="486"/>
      <c r="C132" s="487"/>
      <c r="D132" s="492"/>
      <c r="E132" s="532"/>
      <c r="F132" s="488"/>
      <c r="G132" s="545"/>
      <c r="I132" s="492"/>
      <c r="J132" s="489"/>
      <c r="K132" s="489"/>
      <c r="L132" s="490"/>
      <c r="M132" s="477"/>
      <c r="N132" s="477"/>
      <c r="O132" s="477"/>
      <c r="P132" s="477"/>
      <c r="Q132" s="477"/>
      <c r="R132" s="490"/>
      <c r="S132" s="490"/>
      <c r="U132" s="542"/>
      <c r="V132" s="531"/>
    </row>
    <row r="133" spans="1:22" x14ac:dyDescent="0.2">
      <c r="A133" s="467"/>
      <c r="B133" s="486" t="s">
        <v>567</v>
      </c>
      <c r="C133" s="487" t="s">
        <v>558</v>
      </c>
      <c r="D133" s="492">
        <v>10</v>
      </c>
      <c r="E133" s="532"/>
      <c r="F133" s="488"/>
      <c r="G133" s="545"/>
      <c r="I133" s="492">
        <v>10</v>
      </c>
      <c r="J133" s="489"/>
      <c r="K133" s="489"/>
      <c r="L133" s="490"/>
      <c r="M133" s="477"/>
      <c r="N133" s="477"/>
      <c r="O133" s="477"/>
      <c r="P133" s="477"/>
      <c r="Q133" s="477"/>
      <c r="R133" s="490"/>
      <c r="S133" s="490"/>
      <c r="U133" s="542"/>
      <c r="V133" s="531"/>
    </row>
    <row r="134" spans="1:22" x14ac:dyDescent="0.2">
      <c r="A134" s="467" t="s">
        <v>180</v>
      </c>
      <c r="B134" s="468"/>
      <c r="C134" s="487"/>
      <c r="D134" s="487"/>
      <c r="E134" s="532"/>
      <c r="F134" s="488"/>
      <c r="G134" s="549"/>
      <c r="I134" s="487"/>
      <c r="J134" s="487"/>
      <c r="K134" s="489"/>
      <c r="L134" s="490"/>
      <c r="M134" s="477"/>
      <c r="N134" s="477"/>
      <c r="O134" s="477"/>
      <c r="P134" s="477"/>
      <c r="Q134" s="477"/>
      <c r="R134" s="490"/>
      <c r="S134" s="490"/>
      <c r="U134" s="542"/>
      <c r="V134" s="531"/>
    </row>
    <row r="135" spans="1:22" x14ac:dyDescent="0.2">
      <c r="A135" s="467"/>
      <c r="B135" s="486" t="s">
        <v>181</v>
      </c>
      <c r="C135" s="487" t="s">
        <v>568</v>
      </c>
      <c r="D135" s="492">
        <v>10</v>
      </c>
      <c r="E135" s="532"/>
      <c r="F135" s="488"/>
      <c r="G135" s="549"/>
      <c r="I135" s="492">
        <v>10</v>
      </c>
      <c r="J135" s="489"/>
      <c r="K135" s="489"/>
      <c r="L135" s="490"/>
      <c r="M135" s="477"/>
      <c r="N135" s="477"/>
      <c r="O135" s="477"/>
      <c r="P135" s="477"/>
      <c r="Q135" s="477"/>
      <c r="R135" s="490"/>
      <c r="S135" s="490"/>
      <c r="U135" s="542"/>
      <c r="V135" s="531"/>
    </row>
    <row r="136" spans="1:22" x14ac:dyDescent="0.2">
      <c r="A136" s="467" t="s">
        <v>182</v>
      </c>
      <c r="B136" s="486"/>
      <c r="C136" s="487"/>
      <c r="D136" s="492"/>
      <c r="E136" s="532"/>
      <c r="F136" s="488"/>
      <c r="G136" s="549"/>
      <c r="I136" s="492"/>
      <c r="J136" s="489"/>
      <c r="K136" s="489"/>
      <c r="L136" s="490"/>
      <c r="M136" s="477"/>
      <c r="N136" s="477"/>
      <c r="O136" s="477"/>
      <c r="P136" s="477"/>
      <c r="Q136" s="477"/>
      <c r="R136" s="490"/>
      <c r="S136" s="490"/>
      <c r="U136" s="542"/>
      <c r="V136" s="531"/>
    </row>
    <row r="137" spans="1:22" x14ac:dyDescent="0.2">
      <c r="A137" s="467" t="s">
        <v>12</v>
      </c>
      <c r="B137" s="486" t="s">
        <v>139</v>
      </c>
      <c r="C137" s="487"/>
      <c r="D137" s="492">
        <v>0</v>
      </c>
      <c r="E137" s="532"/>
      <c r="F137" s="488"/>
      <c r="G137" s="549"/>
      <c r="I137" s="492"/>
      <c r="J137" s="489"/>
      <c r="K137" s="489"/>
      <c r="L137" s="490"/>
      <c r="M137" s="477"/>
      <c r="N137" s="477"/>
      <c r="O137" s="477"/>
      <c r="P137" s="477"/>
      <c r="Q137" s="477"/>
      <c r="R137" s="490"/>
      <c r="S137" s="490"/>
      <c r="U137" s="542"/>
      <c r="V137" s="531"/>
    </row>
    <row r="138" spans="1:22" x14ac:dyDescent="0.2">
      <c r="A138" s="467"/>
      <c r="B138" s="486" t="s">
        <v>541</v>
      </c>
      <c r="C138" s="487"/>
      <c r="D138" s="492">
        <v>0</v>
      </c>
      <c r="E138" s="532"/>
      <c r="F138" s="488"/>
      <c r="G138" s="495"/>
      <c r="I138" s="492"/>
      <c r="J138" s="489"/>
      <c r="K138" s="489"/>
      <c r="L138" s="490"/>
      <c r="M138" s="477"/>
      <c r="N138" s="477"/>
      <c r="O138" s="477"/>
      <c r="P138" s="477"/>
      <c r="Q138" s="477"/>
      <c r="R138" s="490"/>
      <c r="S138" s="490"/>
      <c r="U138" s="542"/>
      <c r="V138" s="531"/>
    </row>
    <row r="139" spans="1:22" x14ac:dyDescent="0.2">
      <c r="A139" s="467"/>
      <c r="B139" s="486" t="s">
        <v>569</v>
      </c>
      <c r="C139" s="487" t="s">
        <v>459</v>
      </c>
      <c r="D139" s="492">
        <v>20</v>
      </c>
      <c r="E139" s="532"/>
      <c r="F139" s="488"/>
      <c r="G139" s="492">
        <v>50</v>
      </c>
      <c r="H139" s="452" t="s">
        <v>570</v>
      </c>
      <c r="I139" s="492"/>
      <c r="J139" s="489"/>
      <c r="K139" s="489"/>
      <c r="L139" s="490"/>
      <c r="M139" s="477"/>
      <c r="N139" s="477"/>
      <c r="O139" s="477"/>
      <c r="P139" s="477"/>
      <c r="Q139" s="477"/>
      <c r="R139" s="490"/>
      <c r="S139" s="490"/>
      <c r="U139" s="542"/>
      <c r="V139" s="531"/>
    </row>
    <row r="140" spans="1:22" x14ac:dyDescent="0.2">
      <c r="A140" s="467"/>
      <c r="B140" s="486" t="s">
        <v>571</v>
      </c>
      <c r="C140" s="487" t="s">
        <v>459</v>
      </c>
      <c r="D140" s="492">
        <v>60</v>
      </c>
      <c r="E140" s="532"/>
      <c r="F140" s="488"/>
      <c r="G140" s="492">
        <v>50</v>
      </c>
      <c r="I140" s="492"/>
      <c r="J140" s="489"/>
      <c r="K140" s="489"/>
      <c r="L140" s="490"/>
      <c r="M140" s="477"/>
      <c r="N140" s="477"/>
      <c r="O140" s="477"/>
      <c r="P140" s="477"/>
      <c r="Q140" s="477"/>
      <c r="R140" s="490"/>
      <c r="S140" s="490"/>
      <c r="U140" s="542"/>
      <c r="V140" s="531"/>
    </row>
    <row r="141" spans="1:22" x14ac:dyDescent="0.2">
      <c r="A141" s="467"/>
      <c r="B141" s="486" t="s">
        <v>572</v>
      </c>
      <c r="C141" s="487" t="s">
        <v>459</v>
      </c>
      <c r="D141" s="492">
        <v>100</v>
      </c>
      <c r="E141" s="532"/>
      <c r="F141" s="488"/>
      <c r="G141" s="492">
        <v>50</v>
      </c>
      <c r="H141" s="452" t="s">
        <v>573</v>
      </c>
      <c r="I141" s="492"/>
      <c r="J141" s="489"/>
      <c r="K141" s="489"/>
      <c r="L141" s="490"/>
      <c r="M141" s="477"/>
      <c r="N141" s="477"/>
      <c r="O141" s="477"/>
      <c r="P141" s="477"/>
      <c r="Q141" s="477"/>
      <c r="R141" s="490"/>
      <c r="S141" s="490"/>
      <c r="U141" s="542"/>
      <c r="V141" s="531"/>
    </row>
    <row r="142" spans="1:22" ht="12.75" customHeight="1" x14ac:dyDescent="0.2">
      <c r="A142" s="467" t="s">
        <v>15</v>
      </c>
      <c r="B142" s="508" t="str">
        <f>B137</f>
        <v>-</v>
      </c>
      <c r="C142" s="550"/>
      <c r="D142" s="492">
        <v>0</v>
      </c>
      <c r="E142" s="532"/>
      <c r="F142" s="488"/>
      <c r="G142" s="487"/>
      <c r="H142" s="732" t="s">
        <v>574</v>
      </c>
      <c r="I142" s="492"/>
      <c r="J142" s="489"/>
      <c r="K142" s="489"/>
      <c r="L142" s="490"/>
      <c r="M142" s="477"/>
      <c r="N142" s="477"/>
      <c r="O142" s="477"/>
      <c r="P142" s="477"/>
      <c r="Q142" s="477"/>
      <c r="R142" s="490"/>
      <c r="S142" s="490"/>
      <c r="U142" s="542"/>
      <c r="V142" s="531"/>
    </row>
    <row r="143" spans="1:22" x14ac:dyDescent="0.2">
      <c r="A143" s="467"/>
      <c r="B143" s="486" t="s">
        <v>541</v>
      </c>
      <c r="C143" s="487"/>
      <c r="D143" s="492">
        <v>0</v>
      </c>
      <c r="E143" s="532"/>
      <c r="F143" s="488"/>
      <c r="G143" s="495"/>
      <c r="H143" s="732"/>
      <c r="I143" s="492"/>
      <c r="J143" s="489"/>
      <c r="K143" s="489"/>
      <c r="L143" s="490"/>
      <c r="M143" s="477"/>
      <c r="N143" s="477"/>
      <c r="O143" s="477"/>
      <c r="P143" s="477"/>
      <c r="Q143" s="477"/>
      <c r="R143" s="490"/>
      <c r="S143" s="490"/>
      <c r="U143" s="542"/>
      <c r="V143" s="531"/>
    </row>
    <row r="144" spans="1:22" x14ac:dyDescent="0.2">
      <c r="A144" s="467"/>
      <c r="B144" s="508" t="str">
        <f>B139</f>
        <v>superficielles</v>
      </c>
      <c r="C144" s="550" t="s">
        <v>459</v>
      </c>
      <c r="D144" s="492">
        <f>D139+5</f>
        <v>25</v>
      </c>
      <c r="E144" s="532"/>
      <c r="F144" s="488"/>
      <c r="G144" s="492">
        <v>50</v>
      </c>
      <c r="H144" s="732"/>
      <c r="I144" s="492">
        <v>18</v>
      </c>
      <c r="J144" s="489"/>
      <c r="K144" s="489"/>
      <c r="L144" s="490"/>
      <c r="M144" s="477"/>
      <c r="N144" s="477"/>
      <c r="O144" s="477"/>
      <c r="P144" s="477"/>
      <c r="Q144" s="477"/>
      <c r="R144" s="490"/>
      <c r="S144" s="490"/>
      <c r="U144" s="542"/>
      <c r="V144" s="531"/>
    </row>
    <row r="145" spans="1:30" x14ac:dyDescent="0.2">
      <c r="A145" s="467"/>
      <c r="B145" s="508" t="str">
        <f>B140</f>
        <v>micropieux</v>
      </c>
      <c r="C145" s="550" t="s">
        <v>459</v>
      </c>
      <c r="D145" s="492">
        <f>D140+5</f>
        <v>65</v>
      </c>
      <c r="E145" s="532"/>
      <c r="F145" s="488"/>
      <c r="G145" s="492">
        <v>50</v>
      </c>
      <c r="H145" s="732"/>
      <c r="I145" s="492">
        <v>24</v>
      </c>
      <c r="J145" s="489"/>
      <c r="K145" s="489"/>
      <c r="L145" s="490"/>
      <c r="M145" s="477"/>
      <c r="N145" s="477"/>
      <c r="O145" s="477"/>
      <c r="P145" s="477"/>
      <c r="Q145" s="477"/>
      <c r="R145" s="490"/>
      <c r="S145" s="490"/>
      <c r="U145" s="542"/>
      <c r="V145" s="531"/>
    </row>
    <row r="146" spans="1:30" x14ac:dyDescent="0.2">
      <c r="A146" s="467"/>
      <c r="B146" s="508" t="str">
        <f>B141</f>
        <v>pieux béton</v>
      </c>
      <c r="C146" s="550" t="s">
        <v>459</v>
      </c>
      <c r="D146" s="492">
        <f>D141+5</f>
        <v>105</v>
      </c>
      <c r="E146" s="532"/>
      <c r="F146" s="488"/>
      <c r="G146" s="492">
        <v>50</v>
      </c>
      <c r="H146" s="732"/>
      <c r="I146" s="492">
        <v>36</v>
      </c>
      <c r="J146" s="489"/>
      <c r="K146" s="489"/>
      <c r="L146" s="490"/>
      <c r="M146" s="477"/>
      <c r="N146" s="477"/>
      <c r="O146" s="477"/>
      <c r="P146" s="477"/>
      <c r="Q146" s="477"/>
      <c r="R146" s="490"/>
      <c r="S146" s="490"/>
      <c r="U146" s="542"/>
      <c r="V146" s="531"/>
    </row>
    <row r="147" spans="1:30" x14ac:dyDescent="0.2">
      <c r="A147" s="467" t="s">
        <v>184</v>
      </c>
      <c r="B147" s="486" t="s">
        <v>139</v>
      </c>
      <c r="C147" s="487"/>
      <c r="D147" s="492">
        <v>0</v>
      </c>
      <c r="E147" s="487">
        <v>1</v>
      </c>
      <c r="F147" s="487">
        <f t="shared" ref="F147:F154" si="3">D147*E147</f>
        <v>0</v>
      </c>
      <c r="G147" s="487">
        <v>50</v>
      </c>
      <c r="H147" s="452" t="s">
        <v>575</v>
      </c>
      <c r="I147" s="487"/>
      <c r="J147" s="487"/>
      <c r="K147" s="489"/>
      <c r="L147" s="490"/>
      <c r="M147" s="477"/>
      <c r="N147" s="477"/>
      <c r="O147" s="477"/>
      <c r="P147" s="477"/>
      <c r="Q147" s="477"/>
      <c r="R147" s="490"/>
      <c r="S147" s="490"/>
      <c r="U147" s="542"/>
      <c r="V147" s="531"/>
    </row>
    <row r="148" spans="1:30" x14ac:dyDescent="0.2">
      <c r="A148" s="467"/>
      <c r="B148" s="486" t="s">
        <v>541</v>
      </c>
      <c r="C148" s="487"/>
      <c r="D148" s="492">
        <v>0</v>
      </c>
      <c r="E148" s="487">
        <v>1</v>
      </c>
      <c r="F148" s="487">
        <f t="shared" si="3"/>
        <v>0</v>
      </c>
      <c r="G148" s="487">
        <v>50</v>
      </c>
      <c r="I148" s="492"/>
      <c r="J148" s="489"/>
      <c r="K148" s="489"/>
      <c r="L148" s="490"/>
      <c r="M148" s="477"/>
      <c r="N148" s="477"/>
      <c r="O148" s="477"/>
      <c r="P148" s="477"/>
      <c r="Q148" s="477"/>
      <c r="R148" s="490"/>
      <c r="S148" s="490"/>
      <c r="U148" s="542"/>
      <c r="V148" s="531"/>
    </row>
    <row r="149" spans="1:30" x14ac:dyDescent="0.2">
      <c r="A149" s="467"/>
      <c r="B149" s="486" t="s">
        <v>550</v>
      </c>
      <c r="C149" s="487" t="s">
        <v>459</v>
      </c>
      <c r="D149" s="492">
        <f>45+180</f>
        <v>225</v>
      </c>
      <c r="E149" s="487">
        <v>1</v>
      </c>
      <c r="F149" s="487">
        <f t="shared" si="3"/>
        <v>225</v>
      </c>
      <c r="G149" s="492">
        <v>50</v>
      </c>
      <c r="H149" s="452" t="s">
        <v>576</v>
      </c>
      <c r="I149" s="492">
        <v>40</v>
      </c>
      <c r="J149" s="489"/>
      <c r="K149" s="489"/>
      <c r="L149" s="490"/>
      <c r="M149" s="477"/>
      <c r="N149" s="477"/>
      <c r="O149" s="477"/>
      <c r="P149" s="477"/>
      <c r="Q149" s="477"/>
      <c r="R149" s="490"/>
      <c r="S149" s="490"/>
      <c r="U149" s="542"/>
      <c r="V149" s="531"/>
    </row>
    <row r="150" spans="1:30" x14ac:dyDescent="0.2">
      <c r="A150" s="467"/>
      <c r="B150" s="486" t="s">
        <v>551</v>
      </c>
      <c r="C150" s="487" t="s">
        <v>459</v>
      </c>
      <c r="D150" s="490">
        <f>D149*D$97</f>
        <v>168.75</v>
      </c>
      <c r="E150" s="487">
        <v>1</v>
      </c>
      <c r="F150" s="492">
        <f t="shared" si="3"/>
        <v>168.75</v>
      </c>
      <c r="G150" s="492">
        <v>50</v>
      </c>
      <c r="I150" s="492"/>
      <c r="J150" s="490"/>
      <c r="K150" s="489"/>
      <c r="L150" s="490"/>
      <c r="M150" s="477"/>
      <c r="N150" s="477"/>
      <c r="O150" s="477"/>
      <c r="P150" s="477"/>
      <c r="Q150" s="477"/>
      <c r="R150" s="490"/>
      <c r="S150" s="490"/>
      <c r="U150" s="542"/>
      <c r="V150" s="531"/>
    </row>
    <row r="151" spans="1:30" x14ac:dyDescent="0.2">
      <c r="A151" s="467"/>
      <c r="B151" s="486" t="s">
        <v>577</v>
      </c>
      <c r="C151" s="487" t="s">
        <v>459</v>
      </c>
      <c r="D151" s="492">
        <f>80+180</f>
        <v>260</v>
      </c>
      <c r="E151" s="487">
        <v>1</v>
      </c>
      <c r="F151" s="487">
        <f t="shared" si="3"/>
        <v>260</v>
      </c>
      <c r="G151" s="492">
        <v>50</v>
      </c>
      <c r="H151" s="452" t="s">
        <v>578</v>
      </c>
      <c r="I151" s="492"/>
      <c r="J151" s="489"/>
      <c r="K151" s="489"/>
      <c r="L151" s="490"/>
      <c r="M151" s="477"/>
      <c r="N151" s="477"/>
      <c r="O151" s="477"/>
      <c r="P151" s="477"/>
      <c r="Q151" s="477"/>
      <c r="R151" s="490"/>
      <c r="S151" s="490"/>
      <c r="U151" s="542"/>
      <c r="V151" s="531"/>
    </row>
    <row r="152" spans="1:30" x14ac:dyDescent="0.2">
      <c r="A152" s="467"/>
      <c r="B152" s="486" t="s">
        <v>579</v>
      </c>
      <c r="C152" s="487" t="s">
        <v>459</v>
      </c>
      <c r="D152" s="490">
        <f>D151*D$97</f>
        <v>195</v>
      </c>
      <c r="E152" s="487">
        <v>1</v>
      </c>
      <c r="F152" s="487">
        <f t="shared" si="3"/>
        <v>195</v>
      </c>
      <c r="G152" s="492">
        <v>50</v>
      </c>
      <c r="I152" s="492"/>
      <c r="J152" s="490"/>
      <c r="K152" s="489"/>
      <c r="L152" s="490"/>
      <c r="M152" s="477"/>
      <c r="N152" s="477"/>
      <c r="O152" s="477"/>
      <c r="P152" s="477"/>
      <c r="Q152" s="477"/>
      <c r="R152" s="490"/>
      <c r="S152" s="490"/>
      <c r="U152" s="542"/>
      <c r="V152" s="531"/>
    </row>
    <row r="153" spans="1:30" x14ac:dyDescent="0.2">
      <c r="A153" s="467"/>
      <c r="B153" s="486" t="s">
        <v>580</v>
      </c>
      <c r="C153" s="487" t="s">
        <v>459</v>
      </c>
      <c r="D153" s="492">
        <f>120+180</f>
        <v>300</v>
      </c>
      <c r="E153" s="487">
        <v>1</v>
      </c>
      <c r="F153" s="487">
        <f t="shared" si="3"/>
        <v>300</v>
      </c>
      <c r="G153" s="492">
        <v>50</v>
      </c>
      <c r="H153" s="452" t="s">
        <v>581</v>
      </c>
      <c r="I153" s="492">
        <v>60</v>
      </c>
      <c r="J153" s="489"/>
      <c r="K153" s="489"/>
      <c r="L153" s="490"/>
      <c r="M153" s="477"/>
      <c r="N153" s="477"/>
      <c r="O153" s="477"/>
      <c r="P153" s="477"/>
      <c r="Q153" s="477"/>
      <c r="R153" s="490"/>
      <c r="S153" s="490"/>
      <c r="U153" s="542"/>
      <c r="V153" s="531"/>
    </row>
    <row r="154" spans="1:30" x14ac:dyDescent="0.2">
      <c r="A154" s="467"/>
      <c r="B154" s="486" t="s">
        <v>582</v>
      </c>
      <c r="C154" s="487" t="s">
        <v>459</v>
      </c>
      <c r="D154" s="490">
        <f>D153*D$97</f>
        <v>225</v>
      </c>
      <c r="E154" s="487">
        <v>1</v>
      </c>
      <c r="F154" s="487">
        <f t="shared" si="3"/>
        <v>225</v>
      </c>
      <c r="G154" s="492">
        <v>50</v>
      </c>
      <c r="I154" s="492"/>
      <c r="J154" s="490"/>
      <c r="K154" s="489"/>
      <c r="L154" s="490"/>
      <c r="M154" s="477"/>
      <c r="N154" s="477"/>
      <c r="O154" s="477"/>
      <c r="P154" s="477"/>
      <c r="Q154" s="477"/>
      <c r="R154" s="490"/>
      <c r="S154" s="490"/>
      <c r="U154" s="542"/>
      <c r="V154" s="531"/>
    </row>
    <row r="155" spans="1:30" x14ac:dyDescent="0.2">
      <c r="A155" s="485" t="s">
        <v>104</v>
      </c>
      <c r="B155" s="551"/>
      <c r="C155" s="552"/>
      <c r="D155" s="553"/>
      <c r="E155" s="552"/>
      <c r="F155" s="554"/>
      <c r="G155" s="553"/>
      <c r="I155" s="553"/>
      <c r="J155" s="553"/>
      <c r="K155" s="489"/>
      <c r="L155" s="490"/>
      <c r="M155" s="477"/>
      <c r="N155" s="477"/>
      <c r="O155" s="477"/>
      <c r="P155" s="477"/>
      <c r="Q155" s="477"/>
      <c r="R155" s="490"/>
      <c r="S155" s="490"/>
      <c r="U155" s="542"/>
      <c r="V155" s="531"/>
    </row>
    <row r="156" spans="1:30" x14ac:dyDescent="0.2">
      <c r="A156" s="467" t="s">
        <v>12</v>
      </c>
      <c r="B156" s="486" t="s">
        <v>139</v>
      </c>
      <c r="C156" s="487"/>
      <c r="D156" s="492">
        <v>0</v>
      </c>
      <c r="E156" s="487">
        <v>1</v>
      </c>
      <c r="F156" s="487">
        <f t="shared" ref="F156:F177" si="4">D156*E156</f>
        <v>0</v>
      </c>
      <c r="G156" s="487">
        <v>50</v>
      </c>
      <c r="I156" s="487"/>
      <c r="J156" s="487"/>
      <c r="K156" s="489"/>
      <c r="L156" s="490"/>
      <c r="M156" s="477"/>
      <c r="N156" s="477"/>
      <c r="O156" s="477"/>
      <c r="P156" s="477"/>
      <c r="Q156" s="477"/>
      <c r="R156" s="490"/>
      <c r="S156" s="490"/>
      <c r="U156" s="542"/>
      <c r="V156" s="531"/>
    </row>
    <row r="157" spans="1:30" x14ac:dyDescent="0.2">
      <c r="A157" s="467"/>
      <c r="B157" s="486" t="s">
        <v>541</v>
      </c>
      <c r="C157" s="487"/>
      <c r="D157" s="492">
        <v>0</v>
      </c>
      <c r="E157" s="487">
        <v>1</v>
      </c>
      <c r="F157" s="487">
        <f t="shared" si="4"/>
        <v>0</v>
      </c>
      <c r="G157" s="487">
        <v>50</v>
      </c>
      <c r="I157" s="492"/>
      <c r="J157" s="489"/>
      <c r="K157" s="489"/>
      <c r="L157" s="490"/>
      <c r="M157" s="477"/>
      <c r="N157" s="477"/>
      <c r="O157" s="477"/>
      <c r="P157" s="477"/>
      <c r="Q157" s="477"/>
      <c r="R157" s="490"/>
      <c r="S157" s="490"/>
      <c r="U157" s="542"/>
      <c r="V157" s="531"/>
    </row>
    <row r="158" spans="1:30" x14ac:dyDescent="0.2">
      <c r="A158" s="467"/>
      <c r="B158" s="486" t="s">
        <v>550</v>
      </c>
      <c r="C158" s="487" t="s">
        <v>459</v>
      </c>
      <c r="D158" s="492">
        <v>50</v>
      </c>
      <c r="E158" s="487">
        <v>1</v>
      </c>
      <c r="F158" s="487">
        <f t="shared" si="4"/>
        <v>50</v>
      </c>
      <c r="G158" s="492">
        <v>50</v>
      </c>
      <c r="H158" s="452" t="s">
        <v>583</v>
      </c>
      <c r="I158" s="492"/>
      <c r="J158" s="489"/>
      <c r="K158" s="489"/>
      <c r="L158" s="490"/>
      <c r="M158" s="477"/>
      <c r="N158" s="477"/>
      <c r="O158" s="477"/>
      <c r="P158" s="477"/>
      <c r="Q158" s="477"/>
      <c r="R158" s="490"/>
      <c r="S158" s="490"/>
      <c r="U158" s="542"/>
      <c r="V158" s="531"/>
    </row>
    <row r="159" spans="1:30" x14ac:dyDescent="0.2">
      <c r="A159" s="467"/>
      <c r="B159" s="486" t="s">
        <v>551</v>
      </c>
      <c r="C159" s="487" t="s">
        <v>459</v>
      </c>
      <c r="D159" s="490">
        <f>D158*D$97</f>
        <v>37.5</v>
      </c>
      <c r="E159" s="487">
        <v>1</v>
      </c>
      <c r="F159" s="492">
        <f t="shared" si="4"/>
        <v>37.5</v>
      </c>
      <c r="G159" s="492">
        <v>50</v>
      </c>
      <c r="I159" s="492"/>
      <c r="J159" s="490"/>
      <c r="K159" s="489"/>
      <c r="L159" s="490"/>
      <c r="M159" s="477"/>
      <c r="N159" s="477"/>
      <c r="O159" s="477"/>
      <c r="P159" s="477"/>
      <c r="Q159" s="477"/>
      <c r="R159" s="490"/>
      <c r="S159" s="490"/>
      <c r="U159" s="542"/>
      <c r="V159" s="531"/>
    </row>
    <row r="160" spans="1:30" s="468" customFormat="1" x14ac:dyDescent="0.2">
      <c r="A160" s="467"/>
      <c r="B160" s="486" t="s">
        <v>584</v>
      </c>
      <c r="C160" s="487" t="s">
        <v>459</v>
      </c>
      <c r="D160" s="492">
        <v>80</v>
      </c>
      <c r="E160" s="487">
        <v>1</v>
      </c>
      <c r="F160" s="487">
        <f t="shared" si="4"/>
        <v>80</v>
      </c>
      <c r="G160" s="492">
        <v>50</v>
      </c>
      <c r="H160" s="452" t="s">
        <v>585</v>
      </c>
      <c r="I160" s="492"/>
      <c r="J160" s="489"/>
      <c r="K160" s="489"/>
      <c r="L160" s="490"/>
      <c r="M160" s="477"/>
      <c r="N160" s="477"/>
      <c r="O160" s="477"/>
      <c r="P160" s="477"/>
      <c r="Q160" s="477"/>
      <c r="R160" s="490"/>
      <c r="S160" s="490"/>
      <c r="T160" s="456"/>
      <c r="U160" s="542"/>
      <c r="V160" s="531"/>
      <c r="W160"/>
      <c r="X160"/>
      <c r="Y160"/>
      <c r="Z160"/>
      <c r="AA160"/>
      <c r="AB160"/>
      <c r="AC160"/>
      <c r="AD160"/>
    </row>
    <row r="161" spans="1:30" x14ac:dyDescent="0.2">
      <c r="A161" s="467"/>
      <c r="B161" s="486" t="s">
        <v>538</v>
      </c>
      <c r="C161" s="487" t="s">
        <v>459</v>
      </c>
      <c r="D161" s="490">
        <f>D160*D$97</f>
        <v>60</v>
      </c>
      <c r="E161" s="487">
        <v>1</v>
      </c>
      <c r="F161" s="487">
        <f t="shared" si="4"/>
        <v>60</v>
      </c>
      <c r="G161" s="492">
        <v>50</v>
      </c>
      <c r="I161" s="492"/>
      <c r="J161" s="490"/>
      <c r="K161" s="489"/>
      <c r="L161" s="490"/>
      <c r="M161" s="477"/>
      <c r="N161" s="477"/>
      <c r="O161" s="477"/>
      <c r="P161" s="477"/>
      <c r="Q161" s="477"/>
      <c r="R161" s="490"/>
      <c r="S161" s="490"/>
      <c r="U161" s="542"/>
      <c r="V161" s="531"/>
    </row>
    <row r="162" spans="1:30" x14ac:dyDescent="0.2">
      <c r="A162" s="467"/>
      <c r="B162" s="486" t="s">
        <v>586</v>
      </c>
      <c r="C162" s="487" t="s">
        <v>459</v>
      </c>
      <c r="D162" s="492">
        <v>60</v>
      </c>
      <c r="E162" s="487">
        <v>1</v>
      </c>
      <c r="F162" s="487">
        <f t="shared" si="4"/>
        <v>60</v>
      </c>
      <c r="G162" s="492">
        <v>50</v>
      </c>
      <c r="I162" s="492"/>
      <c r="J162" s="489"/>
      <c r="K162" s="489"/>
      <c r="L162" s="490"/>
      <c r="M162" s="477"/>
      <c r="N162" s="477"/>
      <c r="O162" s="477"/>
      <c r="P162" s="477"/>
      <c r="Q162" s="477"/>
      <c r="R162" s="490"/>
      <c r="S162" s="490"/>
      <c r="U162" s="542"/>
      <c r="V162" s="531"/>
    </row>
    <row r="163" spans="1:30" x14ac:dyDescent="0.2">
      <c r="A163" s="467"/>
      <c r="B163" s="486" t="s">
        <v>587</v>
      </c>
      <c r="C163" s="456" t="s">
        <v>459</v>
      </c>
      <c r="D163" s="490">
        <v>80</v>
      </c>
      <c r="E163" s="456">
        <v>1</v>
      </c>
      <c r="F163" s="456">
        <f t="shared" si="4"/>
        <v>80</v>
      </c>
      <c r="G163" s="490">
        <v>50</v>
      </c>
      <c r="H163" s="490"/>
      <c r="I163" s="490"/>
      <c r="J163" s="475"/>
      <c r="K163" s="475"/>
      <c r="L163" s="490"/>
      <c r="M163" s="477"/>
      <c r="N163" s="477"/>
      <c r="O163" s="477"/>
      <c r="P163" s="477"/>
      <c r="Q163" s="477"/>
      <c r="R163" s="490"/>
      <c r="S163" s="490"/>
      <c r="U163" s="542"/>
      <c r="V163" s="531"/>
      <c r="W163" s="555"/>
      <c r="X163" s="555"/>
      <c r="Y163" s="555"/>
      <c r="Z163" s="555"/>
      <c r="AA163" s="555"/>
      <c r="AB163" s="555"/>
      <c r="AC163" s="555"/>
      <c r="AD163" s="555"/>
    </row>
    <row r="164" spans="1:30" x14ac:dyDescent="0.2">
      <c r="A164" s="467"/>
      <c r="B164" s="486" t="s">
        <v>588</v>
      </c>
      <c r="C164" s="487" t="s">
        <v>459</v>
      </c>
      <c r="D164" s="492">
        <v>35</v>
      </c>
      <c r="E164" s="487">
        <v>1</v>
      </c>
      <c r="F164" s="487">
        <f t="shared" si="4"/>
        <v>35</v>
      </c>
      <c r="G164" s="492">
        <v>50</v>
      </c>
      <c r="I164" s="492"/>
      <c r="J164" s="489"/>
      <c r="K164" s="489"/>
      <c r="L164" s="490"/>
      <c r="M164" s="477"/>
      <c r="N164" s="477"/>
      <c r="O164" s="477"/>
      <c r="P164" s="477"/>
      <c r="Q164" s="477"/>
      <c r="R164" s="490"/>
      <c r="S164" s="490"/>
      <c r="U164" s="542"/>
      <c r="V164" s="531"/>
    </row>
    <row r="165" spans="1:30" x14ac:dyDescent="0.2">
      <c r="A165" s="467"/>
      <c r="B165" s="486" t="s">
        <v>589</v>
      </c>
      <c r="C165" s="487" t="s">
        <v>459</v>
      </c>
      <c r="D165" s="492">
        <v>-10</v>
      </c>
      <c r="E165" s="487">
        <v>1</v>
      </c>
      <c r="F165" s="487">
        <f t="shared" si="4"/>
        <v>-10</v>
      </c>
      <c r="G165" s="492">
        <v>50</v>
      </c>
      <c r="I165" s="492"/>
      <c r="J165" s="489"/>
      <c r="K165" s="489"/>
      <c r="L165" s="490"/>
      <c r="M165" s="477"/>
      <c r="N165" s="477"/>
      <c r="O165" s="477"/>
      <c r="P165" s="477"/>
      <c r="Q165" s="477"/>
      <c r="R165" s="490"/>
      <c r="S165" s="490"/>
      <c r="U165" s="542"/>
      <c r="V165" s="531"/>
    </row>
    <row r="166" spans="1:30" x14ac:dyDescent="0.2">
      <c r="A166" s="467"/>
      <c r="B166" s="486" t="s">
        <v>590</v>
      </c>
      <c r="C166" s="487" t="s">
        <v>459</v>
      </c>
      <c r="D166" s="492">
        <v>-20</v>
      </c>
      <c r="E166" s="487">
        <v>1</v>
      </c>
      <c r="F166" s="487">
        <f t="shared" si="4"/>
        <v>-20</v>
      </c>
      <c r="G166" s="492">
        <v>50</v>
      </c>
      <c r="I166" s="492"/>
      <c r="J166" s="489"/>
      <c r="K166" s="489"/>
      <c r="L166" s="490"/>
      <c r="M166" s="477"/>
      <c r="N166" s="477"/>
      <c r="O166" s="477"/>
      <c r="P166" s="477"/>
      <c r="Q166" s="477"/>
      <c r="R166" s="490"/>
      <c r="S166" s="490"/>
      <c r="U166" s="542"/>
      <c r="V166" s="531"/>
    </row>
    <row r="167" spans="1:30" ht="12.75" customHeight="1" x14ac:dyDescent="0.2">
      <c r="A167" s="467" t="s">
        <v>15</v>
      </c>
      <c r="B167" s="508" t="str">
        <f t="shared" ref="B167:B177" si="5">B156</f>
        <v>-</v>
      </c>
      <c r="C167" s="550"/>
      <c r="D167" s="492">
        <v>0</v>
      </c>
      <c r="E167" s="492">
        <v>1</v>
      </c>
      <c r="F167" s="492">
        <f t="shared" si="4"/>
        <v>0</v>
      </c>
      <c r="G167" s="487">
        <f>G156</f>
        <v>50</v>
      </c>
      <c r="H167" s="732" t="s">
        <v>591</v>
      </c>
      <c r="I167" s="487"/>
      <c r="J167" s="487"/>
      <c r="K167" s="489"/>
      <c r="L167" s="490"/>
      <c r="M167" s="477"/>
      <c r="N167" s="477"/>
      <c r="O167" s="477"/>
      <c r="P167" s="477"/>
      <c r="Q167" s="477"/>
      <c r="R167" s="490"/>
      <c r="S167" s="490"/>
      <c r="U167" s="542"/>
      <c r="V167" s="531"/>
    </row>
    <row r="168" spans="1:30" x14ac:dyDescent="0.2">
      <c r="A168" s="467"/>
      <c r="B168" s="508" t="str">
        <f t="shared" si="5"/>
        <v>(sans objet)</v>
      </c>
      <c r="C168" s="487"/>
      <c r="D168" s="492">
        <v>0</v>
      </c>
      <c r="E168" s="487">
        <v>1</v>
      </c>
      <c r="F168" s="487">
        <f t="shared" si="4"/>
        <v>0</v>
      </c>
      <c r="G168" s="487">
        <v>50</v>
      </c>
      <c r="H168" s="732"/>
      <c r="I168" s="492"/>
      <c r="J168" s="489"/>
      <c r="K168" s="489"/>
      <c r="L168" s="490"/>
      <c r="M168" s="477"/>
      <c r="N168" s="477"/>
      <c r="O168" s="477"/>
      <c r="P168" s="477"/>
      <c r="Q168" s="477"/>
      <c r="R168" s="490"/>
      <c r="S168" s="490"/>
      <c r="U168" s="542"/>
      <c r="V168" s="531"/>
    </row>
    <row r="169" spans="1:30" x14ac:dyDescent="0.2">
      <c r="A169" s="467"/>
      <c r="B169" s="508" t="str">
        <f t="shared" si="5"/>
        <v>dallage béton</v>
      </c>
      <c r="C169" s="550" t="s">
        <v>459</v>
      </c>
      <c r="D169" s="492">
        <f t="shared" ref="D169:D177" si="6">D158*1.1</f>
        <v>55.000000000000007</v>
      </c>
      <c r="E169" s="492">
        <v>1</v>
      </c>
      <c r="F169" s="492">
        <f t="shared" si="4"/>
        <v>55.000000000000007</v>
      </c>
      <c r="G169" s="492">
        <f t="shared" ref="G169:G177" si="7">G158</f>
        <v>50</v>
      </c>
      <c r="H169" s="732"/>
      <c r="I169" s="492">
        <v>60</v>
      </c>
      <c r="J169" s="489"/>
      <c r="K169" s="489"/>
      <c r="L169" s="490"/>
      <c r="M169" s="477"/>
      <c r="N169" s="477"/>
      <c r="O169" s="477"/>
      <c r="P169" s="477"/>
      <c r="Q169" s="477"/>
      <c r="R169" s="490"/>
      <c r="S169" s="490"/>
      <c r="U169" s="542"/>
      <c r="V169" s="531"/>
    </row>
    <row r="170" spans="1:30" x14ac:dyDescent="0.2">
      <c r="A170" s="467"/>
      <c r="B170" s="508" t="str">
        <f t="shared" si="5"/>
        <v>dallage en béton moins carboné</v>
      </c>
      <c r="C170" s="550" t="s">
        <v>459</v>
      </c>
      <c r="D170" s="492">
        <f t="shared" si="6"/>
        <v>41.25</v>
      </c>
      <c r="E170" s="492">
        <v>1</v>
      </c>
      <c r="F170" s="492">
        <f t="shared" si="4"/>
        <v>41.25</v>
      </c>
      <c r="G170" s="492">
        <f t="shared" si="7"/>
        <v>50</v>
      </c>
      <c r="H170" s="732"/>
      <c r="I170" s="492"/>
      <c r="J170" s="490"/>
      <c r="K170" s="489"/>
      <c r="L170" s="490"/>
      <c r="M170" s="477"/>
      <c r="N170" s="477"/>
      <c r="O170" s="477"/>
      <c r="P170" s="477"/>
      <c r="Q170" s="477"/>
      <c r="R170" s="490"/>
      <c r="S170" s="490"/>
      <c r="U170" s="542"/>
      <c r="V170" s="531"/>
    </row>
    <row r="171" spans="1:30" x14ac:dyDescent="0.2">
      <c r="A171" s="467"/>
      <c r="B171" s="508" t="str">
        <f t="shared" si="5"/>
        <v>béton armé</v>
      </c>
      <c r="C171" s="550" t="s">
        <v>459</v>
      </c>
      <c r="D171" s="492">
        <f t="shared" si="6"/>
        <v>88</v>
      </c>
      <c r="E171" s="492">
        <v>1</v>
      </c>
      <c r="F171" s="492">
        <f t="shared" si="4"/>
        <v>88</v>
      </c>
      <c r="G171" s="492">
        <f t="shared" si="7"/>
        <v>50</v>
      </c>
      <c r="H171" s="732"/>
      <c r="I171" s="492">
        <v>90</v>
      </c>
      <c r="J171" s="489"/>
      <c r="K171" s="489"/>
      <c r="L171" s="490"/>
      <c r="M171" s="477"/>
      <c r="N171" s="477"/>
      <c r="O171" s="477"/>
      <c r="P171" s="477"/>
      <c r="Q171" s="477"/>
      <c r="R171" s="490"/>
      <c r="S171" s="490"/>
      <c r="U171" s="542"/>
      <c r="V171" s="531"/>
    </row>
    <row r="172" spans="1:30" x14ac:dyDescent="0.2">
      <c r="A172" s="467"/>
      <c r="B172" s="508" t="str">
        <f t="shared" si="5"/>
        <v>béton moins carboné</v>
      </c>
      <c r="C172" s="550" t="s">
        <v>459</v>
      </c>
      <c r="D172" s="492">
        <f t="shared" si="6"/>
        <v>66</v>
      </c>
      <c r="E172" s="492">
        <v>1</v>
      </c>
      <c r="F172" s="492">
        <f t="shared" si="4"/>
        <v>66</v>
      </c>
      <c r="G172" s="492">
        <f t="shared" si="7"/>
        <v>50</v>
      </c>
      <c r="H172" s="732"/>
      <c r="I172" s="492"/>
      <c r="J172" s="490"/>
      <c r="K172" s="489"/>
      <c r="L172" s="490"/>
      <c r="M172" s="477"/>
      <c r="N172" s="477"/>
      <c r="O172" s="477"/>
      <c r="P172" s="477"/>
      <c r="Q172" s="477"/>
      <c r="R172" s="490"/>
      <c r="S172" s="490"/>
      <c r="U172" s="542"/>
      <c r="V172" s="531"/>
    </row>
    <row r="173" spans="1:30" x14ac:dyDescent="0.2">
      <c r="A173" s="467"/>
      <c r="B173" s="508" t="str">
        <f t="shared" si="5"/>
        <v>collaborant métal-béton</v>
      </c>
      <c r="C173" s="550" t="s">
        <v>459</v>
      </c>
      <c r="D173" s="492">
        <f t="shared" si="6"/>
        <v>66</v>
      </c>
      <c r="E173" s="492">
        <v>1</v>
      </c>
      <c r="F173" s="492">
        <f t="shared" si="4"/>
        <v>66</v>
      </c>
      <c r="G173" s="492">
        <f t="shared" si="7"/>
        <v>50</v>
      </c>
      <c r="H173" s="732"/>
      <c r="I173" s="492">
        <v>120</v>
      </c>
      <c r="J173" s="489"/>
      <c r="K173" s="489"/>
      <c r="L173" s="490"/>
      <c r="M173" s="477"/>
      <c r="N173" s="477"/>
      <c r="O173" s="477"/>
      <c r="P173" s="477"/>
      <c r="Q173" s="477"/>
      <c r="R173" s="490"/>
      <c r="S173" s="490"/>
      <c r="U173" s="542"/>
      <c r="V173" s="531"/>
    </row>
    <row r="174" spans="1:30" x14ac:dyDescent="0.2">
      <c r="A174" s="467"/>
      <c r="B174" s="508" t="str">
        <f t="shared" si="5"/>
        <v>platelages métalliques</v>
      </c>
      <c r="C174" s="550" t="s">
        <v>459</v>
      </c>
      <c r="D174" s="492">
        <f t="shared" si="6"/>
        <v>88</v>
      </c>
      <c r="E174" s="492">
        <v>1</v>
      </c>
      <c r="F174" s="492">
        <f t="shared" si="4"/>
        <v>88</v>
      </c>
      <c r="G174" s="492">
        <f t="shared" si="7"/>
        <v>50</v>
      </c>
      <c r="H174" s="732"/>
      <c r="I174" s="492"/>
      <c r="J174" s="489"/>
      <c r="K174" s="489"/>
      <c r="L174" s="490"/>
      <c r="M174" s="477"/>
      <c r="N174" s="477"/>
      <c r="O174" s="477"/>
      <c r="P174" s="477"/>
      <c r="Q174" s="477"/>
      <c r="R174" s="490"/>
      <c r="S174" s="490"/>
      <c r="U174" s="542"/>
      <c r="V174" s="531"/>
    </row>
    <row r="175" spans="1:30" x14ac:dyDescent="0.2">
      <c r="A175" s="467"/>
      <c r="B175" s="508" t="str">
        <f t="shared" si="5"/>
        <v>collaborant bois-béton</v>
      </c>
      <c r="C175" s="550" t="s">
        <v>459</v>
      </c>
      <c r="D175" s="492">
        <f t="shared" si="6"/>
        <v>38.5</v>
      </c>
      <c r="E175" s="492">
        <v>1</v>
      </c>
      <c r="F175" s="492">
        <f t="shared" si="4"/>
        <v>38.5</v>
      </c>
      <c r="G175" s="492">
        <f t="shared" si="7"/>
        <v>50</v>
      </c>
      <c r="H175" s="732"/>
      <c r="I175" s="492">
        <v>0</v>
      </c>
      <c r="J175" s="489"/>
      <c r="K175" s="489"/>
      <c r="L175" s="490"/>
      <c r="M175" s="477"/>
      <c r="N175" s="477"/>
      <c r="O175" s="477"/>
      <c r="P175" s="477"/>
      <c r="Q175" s="477"/>
      <c r="R175" s="490"/>
      <c r="S175" s="490"/>
      <c r="U175" s="542"/>
      <c r="V175" s="531"/>
    </row>
    <row r="176" spans="1:30" s="556" customFormat="1" x14ac:dyDescent="0.2">
      <c r="A176" s="467"/>
      <c r="B176" s="508" t="str">
        <f t="shared" si="5"/>
        <v>ossature et platelage bois</v>
      </c>
      <c r="C176" s="550" t="s">
        <v>459</v>
      </c>
      <c r="D176" s="492">
        <f t="shared" si="6"/>
        <v>-11</v>
      </c>
      <c r="E176" s="492">
        <v>1</v>
      </c>
      <c r="F176" s="492">
        <f t="shared" si="4"/>
        <v>-11</v>
      </c>
      <c r="G176" s="492">
        <f t="shared" si="7"/>
        <v>50</v>
      </c>
      <c r="H176" s="732"/>
      <c r="I176" s="492">
        <v>-20</v>
      </c>
      <c r="J176" s="489"/>
      <c r="K176" s="489"/>
      <c r="L176" s="490"/>
      <c r="M176" s="477"/>
      <c r="N176" s="477"/>
      <c r="O176" s="477"/>
      <c r="P176" s="477"/>
      <c r="Q176" s="477"/>
      <c r="R176" s="490"/>
      <c r="S176" s="490"/>
      <c r="T176" s="456"/>
      <c r="U176" s="542"/>
      <c r="V176" s="531"/>
      <c r="W176"/>
      <c r="X176"/>
      <c r="Y176"/>
      <c r="Z176"/>
      <c r="AA176"/>
      <c r="AB176"/>
      <c r="AC176"/>
      <c r="AD176"/>
    </row>
    <row r="177" spans="1:30" s="556" customFormat="1" x14ac:dyDescent="0.2">
      <c r="A177" s="467"/>
      <c r="B177" s="508" t="str">
        <f t="shared" si="5"/>
        <v>bois plein (CLT)</v>
      </c>
      <c r="C177" s="550" t="s">
        <v>459</v>
      </c>
      <c r="D177" s="492">
        <f t="shared" si="6"/>
        <v>-22</v>
      </c>
      <c r="E177" s="492">
        <v>1</v>
      </c>
      <c r="F177" s="492">
        <f t="shared" si="4"/>
        <v>-22</v>
      </c>
      <c r="G177" s="492">
        <f t="shared" si="7"/>
        <v>50</v>
      </c>
      <c r="H177" s="732"/>
      <c r="I177" s="492">
        <v>-80</v>
      </c>
      <c r="J177" s="489"/>
      <c r="K177" s="489"/>
      <c r="L177" s="490"/>
      <c r="M177" s="477"/>
      <c r="N177" s="477"/>
      <c r="O177" s="477"/>
      <c r="P177" s="477"/>
      <c r="Q177" s="477"/>
      <c r="R177" s="490"/>
      <c r="S177" s="490"/>
      <c r="T177" s="456"/>
      <c r="U177" s="542"/>
      <c r="V177" s="531"/>
      <c r="W177"/>
      <c r="X177"/>
      <c r="Y177"/>
      <c r="Z177"/>
      <c r="AA177"/>
      <c r="AB177"/>
      <c r="AC177"/>
      <c r="AD177"/>
    </row>
    <row r="178" spans="1:30" s="556" customFormat="1" x14ac:dyDescent="0.2">
      <c r="A178" s="485" t="s">
        <v>592</v>
      </c>
      <c r="B178" s="557"/>
      <c r="C178" s="550"/>
      <c r="D178" s="492"/>
      <c r="E178" s="487"/>
      <c r="F178" s="487"/>
      <c r="G178" s="492"/>
      <c r="H178" s="452"/>
      <c r="I178" s="492"/>
      <c r="J178" s="489"/>
      <c r="K178" s="489"/>
      <c r="L178" s="490"/>
      <c r="M178" s="477"/>
      <c r="N178" s="477"/>
      <c r="O178" s="477"/>
      <c r="P178" s="477"/>
      <c r="Q178" s="477"/>
      <c r="R178" s="490"/>
      <c r="S178" s="490"/>
      <c r="T178" s="456"/>
      <c r="U178" s="542"/>
      <c r="V178" s="531"/>
      <c r="W178"/>
      <c r="X178"/>
      <c r="Y178"/>
      <c r="Z178"/>
      <c r="AA178"/>
      <c r="AB178"/>
      <c r="AC178"/>
      <c r="AD178"/>
    </row>
    <row r="179" spans="1:30" x14ac:dyDescent="0.2">
      <c r="A179" s="467" t="s">
        <v>12</v>
      </c>
      <c r="B179" s="486" t="s">
        <v>139</v>
      </c>
      <c r="C179" s="487"/>
      <c r="D179" s="492">
        <v>0</v>
      </c>
      <c r="E179" s="487">
        <v>1</v>
      </c>
      <c r="F179" s="487">
        <f t="shared" ref="F179:F192" si="8">D179*E179</f>
        <v>0</v>
      </c>
      <c r="G179" s="487">
        <v>50</v>
      </c>
      <c r="I179" s="487"/>
      <c r="J179" s="487"/>
      <c r="K179" s="489"/>
      <c r="L179" s="490"/>
      <c r="M179" s="477"/>
      <c r="N179" s="477"/>
      <c r="O179" s="477"/>
      <c r="P179" s="477"/>
      <c r="Q179" s="477"/>
      <c r="R179" s="490"/>
      <c r="S179" s="490"/>
      <c r="U179" s="542"/>
      <c r="V179" s="531"/>
      <c r="W179" s="556"/>
      <c r="X179" s="556"/>
      <c r="Y179" s="556"/>
      <c r="Z179" s="556"/>
      <c r="AA179" s="556"/>
      <c r="AB179" s="556"/>
      <c r="AC179" s="556"/>
      <c r="AD179" s="556"/>
    </row>
    <row r="180" spans="1:30" x14ac:dyDescent="0.2">
      <c r="A180" s="467"/>
      <c r="B180" s="486" t="s">
        <v>541</v>
      </c>
      <c r="C180" s="487"/>
      <c r="D180" s="492">
        <v>0</v>
      </c>
      <c r="E180" s="487">
        <v>1</v>
      </c>
      <c r="F180" s="487">
        <f t="shared" si="8"/>
        <v>0</v>
      </c>
      <c r="G180" s="487">
        <v>50</v>
      </c>
      <c r="I180" s="492"/>
      <c r="J180" s="489"/>
      <c r="K180" s="489"/>
      <c r="L180" s="490"/>
      <c r="M180" s="477"/>
      <c r="N180" s="477"/>
      <c r="O180" s="477"/>
      <c r="P180" s="477"/>
      <c r="Q180" s="477"/>
      <c r="R180" s="490"/>
      <c r="S180" s="490"/>
      <c r="U180" s="542"/>
      <c r="V180" s="531"/>
      <c r="W180" s="556"/>
      <c r="X180" s="556"/>
      <c r="Y180" s="556"/>
      <c r="Z180" s="556"/>
      <c r="AA180" s="556"/>
      <c r="AB180" s="556"/>
      <c r="AC180" s="556"/>
      <c r="AD180" s="556"/>
    </row>
    <row r="181" spans="1:30" x14ac:dyDescent="0.2">
      <c r="A181" s="467"/>
      <c r="B181" s="486" t="s">
        <v>593</v>
      </c>
      <c r="C181" s="487" t="s">
        <v>459</v>
      </c>
      <c r="D181" s="492">
        <v>30</v>
      </c>
      <c r="E181" s="487">
        <v>1</v>
      </c>
      <c r="F181" s="487">
        <f t="shared" si="8"/>
        <v>30</v>
      </c>
      <c r="G181" s="492">
        <v>50</v>
      </c>
      <c r="H181" s="452" t="s">
        <v>594</v>
      </c>
      <c r="I181" s="492"/>
      <c r="J181" s="489"/>
      <c r="K181" s="489"/>
      <c r="L181" s="490"/>
      <c r="M181" s="477"/>
      <c r="N181" s="477"/>
      <c r="O181" s="477"/>
      <c r="P181" s="477"/>
      <c r="Q181" s="477"/>
      <c r="R181" s="490"/>
      <c r="S181" s="490"/>
      <c r="U181" s="542"/>
      <c r="V181" s="531"/>
      <c r="W181" s="556"/>
      <c r="X181" s="556"/>
      <c r="Y181" s="556"/>
      <c r="Z181" s="556"/>
      <c r="AA181" s="556"/>
      <c r="AB181" s="556"/>
      <c r="AC181" s="556"/>
      <c r="AD181" s="556"/>
    </row>
    <row r="182" spans="1:30" x14ac:dyDescent="0.2">
      <c r="A182" s="467"/>
      <c r="B182" s="486" t="s">
        <v>595</v>
      </c>
      <c r="C182" s="487" t="s">
        <v>459</v>
      </c>
      <c r="D182" s="490">
        <f>D181*D$97</f>
        <v>22.5</v>
      </c>
      <c r="E182" s="487">
        <v>1</v>
      </c>
      <c r="F182" s="492">
        <f t="shared" si="8"/>
        <v>22.5</v>
      </c>
      <c r="G182" s="492">
        <v>50</v>
      </c>
      <c r="I182" s="492"/>
      <c r="J182" s="490"/>
      <c r="K182" s="489"/>
      <c r="L182" s="490"/>
      <c r="M182" s="477"/>
      <c r="N182" s="477"/>
      <c r="O182" s="477"/>
      <c r="P182" s="477"/>
      <c r="Q182" s="477"/>
      <c r="R182" s="490"/>
      <c r="S182" s="490"/>
      <c r="U182" s="542"/>
      <c r="V182" s="531"/>
      <c r="W182" s="556"/>
      <c r="X182" s="556"/>
      <c r="Y182" s="556"/>
      <c r="Z182" s="556"/>
      <c r="AA182" s="556"/>
      <c r="AB182" s="556"/>
      <c r="AC182" s="556"/>
      <c r="AD182" s="556"/>
    </row>
    <row r="183" spans="1:30" s="556" customFormat="1" x14ac:dyDescent="0.2">
      <c r="A183" s="467"/>
      <c r="B183" s="486" t="s">
        <v>596</v>
      </c>
      <c r="C183" s="487" t="s">
        <v>459</v>
      </c>
      <c r="D183" s="492">
        <v>36</v>
      </c>
      <c r="E183" s="487">
        <v>1</v>
      </c>
      <c r="F183" s="487">
        <f t="shared" si="8"/>
        <v>36</v>
      </c>
      <c r="G183" s="492">
        <v>50</v>
      </c>
      <c r="H183" s="452" t="s">
        <v>597</v>
      </c>
      <c r="I183" s="492"/>
      <c r="J183" s="489"/>
      <c r="K183" s="489"/>
      <c r="L183" s="490"/>
      <c r="M183" s="477"/>
      <c r="N183" s="477"/>
      <c r="O183" s="477"/>
      <c r="P183" s="477"/>
      <c r="Q183" s="477"/>
      <c r="R183" s="490"/>
      <c r="S183" s="490"/>
      <c r="T183" s="456"/>
      <c r="U183" s="542"/>
      <c r="V183" s="531"/>
    </row>
    <row r="184" spans="1:30" s="556" customFormat="1" x14ac:dyDescent="0.2">
      <c r="A184" s="467"/>
      <c r="B184" s="486" t="s">
        <v>598</v>
      </c>
      <c r="C184" s="487" t="s">
        <v>459</v>
      </c>
      <c r="D184" s="492">
        <v>-15</v>
      </c>
      <c r="E184" s="487">
        <v>1</v>
      </c>
      <c r="F184" s="487">
        <f t="shared" si="8"/>
        <v>-15</v>
      </c>
      <c r="G184" s="492">
        <v>50</v>
      </c>
      <c r="H184" s="452" t="s">
        <v>599</v>
      </c>
      <c r="I184" s="492"/>
      <c r="J184" s="489"/>
      <c r="K184" s="489"/>
      <c r="L184" s="490"/>
      <c r="M184" s="477"/>
      <c r="N184" s="477"/>
      <c r="O184" s="477"/>
      <c r="P184" s="477"/>
      <c r="Q184" s="477"/>
      <c r="R184" s="490"/>
      <c r="S184" s="490"/>
      <c r="T184" s="456"/>
      <c r="U184" s="542"/>
      <c r="V184" s="531"/>
      <c r="W184"/>
      <c r="X184"/>
      <c r="Y184"/>
      <c r="Z184"/>
      <c r="AA184"/>
      <c r="AB184"/>
      <c r="AC184"/>
      <c r="AD184"/>
    </row>
    <row r="185" spans="1:30" s="556" customFormat="1" x14ac:dyDescent="0.2">
      <c r="A185" s="467"/>
      <c r="B185" s="467" t="s">
        <v>600</v>
      </c>
      <c r="C185" s="487" t="s">
        <v>459</v>
      </c>
      <c r="D185" s="490">
        <v>30</v>
      </c>
      <c r="E185" s="487">
        <v>1</v>
      </c>
      <c r="F185" s="487">
        <f t="shared" si="8"/>
        <v>30</v>
      </c>
      <c r="G185" s="492"/>
      <c r="H185" s="452" t="s">
        <v>594</v>
      </c>
      <c r="I185" s="492"/>
      <c r="J185" s="489"/>
      <c r="K185" s="489"/>
      <c r="L185" s="490"/>
      <c r="M185" s="477"/>
      <c r="N185" s="477"/>
      <c r="O185" s="477"/>
      <c r="P185" s="477"/>
      <c r="Q185" s="477"/>
      <c r="R185" s="490"/>
      <c r="S185" s="490"/>
      <c r="T185" s="456"/>
      <c r="U185" s="542"/>
      <c r="V185" s="531"/>
      <c r="W185"/>
      <c r="X185"/>
      <c r="Y185"/>
      <c r="Z185"/>
      <c r="AA185"/>
      <c r="AB185"/>
      <c r="AC185"/>
      <c r="AD185"/>
    </row>
    <row r="186" spans="1:30" ht="12.75" customHeight="1" x14ac:dyDescent="0.2">
      <c r="A186" s="467" t="s">
        <v>15</v>
      </c>
      <c r="B186" s="508" t="str">
        <f t="shared" ref="B186:B191" si="9">B179</f>
        <v>-</v>
      </c>
      <c r="C186" s="550"/>
      <c r="D186" s="492">
        <v>0</v>
      </c>
      <c r="E186" s="487">
        <v>1</v>
      </c>
      <c r="F186" s="492">
        <f t="shared" si="8"/>
        <v>0</v>
      </c>
      <c r="G186" s="487">
        <f>G179</f>
        <v>50</v>
      </c>
      <c r="H186" s="732" t="s">
        <v>601</v>
      </c>
      <c r="I186" s="487"/>
      <c r="J186" s="487"/>
      <c r="K186" s="489"/>
      <c r="L186" s="490"/>
      <c r="M186" s="477"/>
      <c r="N186" s="477"/>
      <c r="O186" s="477"/>
      <c r="P186" s="477"/>
      <c r="Q186" s="477"/>
      <c r="R186" s="490"/>
      <c r="S186" s="490"/>
      <c r="U186" s="542"/>
      <c r="V186" s="531"/>
      <c r="W186" s="556"/>
      <c r="X186" s="556"/>
      <c r="Y186" s="556"/>
      <c r="Z186" s="556"/>
      <c r="AA186" s="556"/>
      <c r="AB186" s="556"/>
      <c r="AC186" s="556"/>
      <c r="AD186" s="556"/>
    </row>
    <row r="187" spans="1:30" x14ac:dyDescent="0.2">
      <c r="A187" s="467"/>
      <c r="B187" s="508" t="str">
        <f t="shared" si="9"/>
        <v>(sans objet)</v>
      </c>
      <c r="C187" s="487"/>
      <c r="D187" s="492">
        <v>0</v>
      </c>
      <c r="E187" s="487">
        <v>1</v>
      </c>
      <c r="F187" s="487">
        <f t="shared" si="8"/>
        <v>0</v>
      </c>
      <c r="G187" s="487">
        <v>50</v>
      </c>
      <c r="H187" s="732"/>
      <c r="I187" s="492"/>
      <c r="J187" s="489"/>
      <c r="K187" s="489"/>
      <c r="L187" s="490"/>
      <c r="M187" s="477"/>
      <c r="N187" s="477"/>
      <c r="O187" s="477"/>
      <c r="P187" s="477"/>
      <c r="Q187" s="477"/>
      <c r="R187" s="490"/>
      <c r="S187" s="490"/>
      <c r="U187" s="542"/>
      <c r="V187" s="531"/>
      <c r="W187" s="556"/>
      <c r="X187" s="556"/>
      <c r="Y187" s="556"/>
      <c r="Z187" s="556"/>
      <c r="AA187" s="556"/>
      <c r="AB187" s="556"/>
      <c r="AC187" s="556"/>
      <c r="AD187" s="556"/>
    </row>
    <row r="188" spans="1:30" x14ac:dyDescent="0.2">
      <c r="A188" s="467"/>
      <c r="B188" s="508" t="str">
        <f t="shared" si="9"/>
        <v>ossature béton</v>
      </c>
      <c r="C188" s="550" t="s">
        <v>459</v>
      </c>
      <c r="D188" s="492">
        <f>D181*1.2</f>
        <v>36</v>
      </c>
      <c r="E188" s="487">
        <v>1</v>
      </c>
      <c r="F188" s="492">
        <f t="shared" si="8"/>
        <v>36</v>
      </c>
      <c r="G188" s="492">
        <f>G181</f>
        <v>50</v>
      </c>
      <c r="H188" s="732"/>
      <c r="I188" s="492">
        <v>21</v>
      </c>
      <c r="J188" s="489"/>
      <c r="K188" s="489"/>
      <c r="L188" s="490"/>
      <c r="M188" s="477"/>
      <c r="N188" s="477"/>
      <c r="O188" s="477"/>
      <c r="P188" s="477"/>
      <c r="Q188" s="477"/>
      <c r="R188" s="490"/>
      <c r="S188" s="490"/>
      <c r="U188" s="542"/>
      <c r="V188" s="531"/>
      <c r="W188" s="556"/>
      <c r="X188" s="556"/>
      <c r="Y188" s="556"/>
      <c r="Z188" s="556"/>
      <c r="AA188" s="556"/>
      <c r="AB188" s="556"/>
      <c r="AC188" s="556"/>
      <c r="AD188" s="556"/>
    </row>
    <row r="189" spans="1:30" x14ac:dyDescent="0.2">
      <c r="A189" s="467"/>
      <c r="B189" s="508" t="str">
        <f t="shared" si="9"/>
        <v>ossature en béton moins carboné</v>
      </c>
      <c r="C189" s="550" t="s">
        <v>459</v>
      </c>
      <c r="D189" s="492">
        <f>D182*1.2</f>
        <v>27</v>
      </c>
      <c r="E189" s="487">
        <v>1</v>
      </c>
      <c r="F189" s="492">
        <f t="shared" si="8"/>
        <v>27</v>
      </c>
      <c r="G189" s="492">
        <f>G182</f>
        <v>50</v>
      </c>
      <c r="H189" s="732"/>
      <c r="I189" s="492"/>
      <c r="J189" s="489"/>
      <c r="K189" s="489"/>
      <c r="L189" s="490"/>
      <c r="M189" s="477"/>
      <c r="N189" s="477"/>
      <c r="O189" s="477"/>
      <c r="P189" s="477"/>
      <c r="Q189" s="477"/>
      <c r="R189" s="490"/>
      <c r="S189" s="490"/>
      <c r="U189" s="542"/>
      <c r="V189" s="531"/>
      <c r="W189" s="556"/>
      <c r="X189" s="556"/>
      <c r="Y189" s="556"/>
      <c r="Z189" s="556"/>
      <c r="AA189" s="556"/>
      <c r="AB189" s="556"/>
      <c r="AC189" s="556"/>
      <c r="AD189" s="556"/>
    </row>
    <row r="190" spans="1:30" x14ac:dyDescent="0.2">
      <c r="A190" s="467"/>
      <c r="B190" s="508" t="str">
        <f t="shared" si="9"/>
        <v>ossature métal</v>
      </c>
      <c r="C190" s="550" t="s">
        <v>459</v>
      </c>
      <c r="D190" s="492">
        <f>D183*1.2</f>
        <v>43.199999999999996</v>
      </c>
      <c r="E190" s="487">
        <v>1</v>
      </c>
      <c r="F190" s="492">
        <f t="shared" si="8"/>
        <v>43.199999999999996</v>
      </c>
      <c r="G190" s="492">
        <f>G183</f>
        <v>50</v>
      </c>
      <c r="H190" s="732"/>
      <c r="I190" s="492">
        <v>36</v>
      </c>
      <c r="J190" s="489"/>
      <c r="K190" s="489"/>
      <c r="L190" s="490"/>
      <c r="M190" s="477"/>
      <c r="N190" s="477"/>
      <c r="O190" s="477"/>
      <c r="P190" s="477"/>
      <c r="Q190" s="477"/>
      <c r="R190" s="490"/>
      <c r="S190" s="490"/>
      <c r="U190" s="542"/>
      <c r="V190" s="531"/>
      <c r="W190" s="556"/>
      <c r="X190" s="556"/>
      <c r="Y190" s="556"/>
      <c r="Z190" s="556"/>
      <c r="AA190" s="556"/>
      <c r="AB190" s="556"/>
      <c r="AC190" s="556"/>
      <c r="AD190" s="556"/>
    </row>
    <row r="191" spans="1:30" x14ac:dyDescent="0.2">
      <c r="A191" s="467"/>
      <c r="B191" s="508" t="str">
        <f t="shared" si="9"/>
        <v>ossature bois</v>
      </c>
      <c r="C191" s="550" t="s">
        <v>459</v>
      </c>
      <c r="D191" s="492">
        <f>D184*1.2</f>
        <v>-18</v>
      </c>
      <c r="E191" s="487">
        <v>1</v>
      </c>
      <c r="F191" s="492">
        <f t="shared" si="8"/>
        <v>-18</v>
      </c>
      <c r="G191" s="492">
        <f>G184</f>
        <v>50</v>
      </c>
      <c r="H191" s="732"/>
      <c r="I191" s="492">
        <v>-15</v>
      </c>
      <c r="J191" s="489"/>
      <c r="K191" s="489"/>
      <c r="L191" s="490"/>
      <c r="M191" s="477"/>
      <c r="N191" s="477"/>
      <c r="O191" s="477"/>
      <c r="P191" s="477"/>
      <c r="Q191" s="477"/>
      <c r="R191" s="490"/>
      <c r="S191" s="490"/>
      <c r="U191" s="542"/>
      <c r="V191" s="531"/>
    </row>
    <row r="192" spans="1:30" x14ac:dyDescent="0.2">
      <c r="A192" s="467"/>
      <c r="B192" s="558" t="s">
        <v>600</v>
      </c>
      <c r="C192" s="550" t="s">
        <v>459</v>
      </c>
      <c r="D192" s="492">
        <f>D185*1.2</f>
        <v>36</v>
      </c>
      <c r="E192" s="487">
        <v>1</v>
      </c>
      <c r="F192" s="492">
        <f t="shared" si="8"/>
        <v>36</v>
      </c>
      <c r="G192" s="487"/>
      <c r="H192" s="732"/>
      <c r="I192" s="492"/>
      <c r="J192" s="489"/>
      <c r="K192" s="489"/>
      <c r="L192" s="490"/>
      <c r="M192" s="477"/>
      <c r="N192" s="477"/>
      <c r="O192" s="477"/>
      <c r="P192" s="477"/>
      <c r="Q192" s="477"/>
      <c r="R192" s="490"/>
      <c r="S192" s="490"/>
      <c r="U192" s="542"/>
      <c r="V192" s="531"/>
    </row>
    <row r="193" spans="1:30" x14ac:dyDescent="0.2">
      <c r="A193" s="485" t="s">
        <v>123</v>
      </c>
      <c r="B193" s="551"/>
      <c r="C193" s="552"/>
      <c r="D193" s="553"/>
      <c r="E193" s="552"/>
      <c r="F193" s="554"/>
      <c r="G193" s="553"/>
      <c r="I193" s="553"/>
      <c r="J193" s="553"/>
      <c r="K193" s="489"/>
      <c r="L193" s="490"/>
      <c r="M193" s="477"/>
      <c r="N193" s="477"/>
      <c r="O193" s="477"/>
      <c r="P193" s="477"/>
      <c r="Q193" s="477"/>
      <c r="R193" s="490"/>
      <c r="S193" s="490"/>
      <c r="U193" s="542"/>
      <c r="V193" s="531"/>
    </row>
    <row r="194" spans="1:30" x14ac:dyDescent="0.2">
      <c r="A194" s="467"/>
      <c r="B194" s="486" t="s">
        <v>139</v>
      </c>
      <c r="C194" s="487"/>
      <c r="D194" s="492">
        <v>0</v>
      </c>
      <c r="E194" s="487">
        <v>1</v>
      </c>
      <c r="F194" s="487">
        <f t="shared" ref="F194:F199" si="10">D194*E194</f>
        <v>0</v>
      </c>
      <c r="G194" s="487">
        <v>50</v>
      </c>
      <c r="I194" s="487"/>
      <c r="J194" s="487"/>
      <c r="K194" s="489"/>
      <c r="L194" s="490"/>
      <c r="M194" s="477"/>
      <c r="N194" s="477"/>
      <c r="O194" s="477"/>
      <c r="P194" s="477"/>
      <c r="Q194" s="477"/>
      <c r="R194" s="490"/>
      <c r="S194" s="490"/>
      <c r="U194" s="542"/>
      <c r="V194" s="531"/>
    </row>
    <row r="195" spans="1:30" x14ac:dyDescent="0.2">
      <c r="A195" s="467"/>
      <c r="B195" s="486" t="s">
        <v>541</v>
      </c>
      <c r="C195" s="487"/>
      <c r="D195" s="492">
        <v>0</v>
      </c>
      <c r="E195" s="487">
        <v>1</v>
      </c>
      <c r="F195" s="487">
        <f t="shared" si="10"/>
        <v>0</v>
      </c>
      <c r="G195" s="487">
        <v>50</v>
      </c>
      <c r="I195" s="492"/>
      <c r="J195" s="489"/>
      <c r="K195" s="489"/>
      <c r="L195" s="490"/>
      <c r="M195" s="477"/>
      <c r="N195" s="477"/>
      <c r="O195" s="477"/>
      <c r="P195" s="477"/>
      <c r="Q195" s="477"/>
      <c r="R195" s="490"/>
      <c r="S195" s="490"/>
      <c r="U195" s="542"/>
      <c r="V195" s="531"/>
    </row>
    <row r="196" spans="1:30" s="556" customFormat="1" x14ac:dyDescent="0.2">
      <c r="A196" s="467"/>
      <c r="B196" s="486" t="s">
        <v>602</v>
      </c>
      <c r="C196" s="487" t="s">
        <v>459</v>
      </c>
      <c r="D196" s="492">
        <v>60</v>
      </c>
      <c r="E196" s="487">
        <v>1</v>
      </c>
      <c r="F196" s="487">
        <f t="shared" si="10"/>
        <v>60</v>
      </c>
      <c r="G196" s="492">
        <v>50</v>
      </c>
      <c r="H196" s="452"/>
      <c r="I196" s="492"/>
      <c r="J196" s="489"/>
      <c r="K196" s="489"/>
      <c r="L196" s="490"/>
      <c r="M196" s="477"/>
      <c r="N196" s="477"/>
      <c r="O196" s="477"/>
      <c r="P196" s="477"/>
      <c r="Q196" s="477"/>
      <c r="R196" s="490"/>
      <c r="S196" s="490"/>
      <c r="T196" s="456"/>
      <c r="U196" s="542"/>
      <c r="V196" s="531"/>
      <c r="W196"/>
      <c r="X196"/>
      <c r="Y196"/>
      <c r="Z196"/>
      <c r="AA196"/>
      <c r="AB196"/>
      <c r="AC196"/>
      <c r="AD196"/>
    </row>
    <row r="197" spans="1:30" x14ac:dyDescent="0.2">
      <c r="A197" s="467"/>
      <c r="B197" s="486" t="s">
        <v>603</v>
      </c>
      <c r="C197" s="487" t="s">
        <v>459</v>
      </c>
      <c r="D197" s="490">
        <v>-10</v>
      </c>
      <c r="E197" s="487">
        <v>1</v>
      </c>
      <c r="F197" s="492">
        <f t="shared" si="10"/>
        <v>-10</v>
      </c>
      <c r="G197" s="492">
        <v>50</v>
      </c>
      <c r="I197" s="492"/>
      <c r="J197" s="490"/>
      <c r="K197" s="489"/>
      <c r="L197" s="490"/>
      <c r="M197" s="477"/>
      <c r="N197" s="477"/>
      <c r="O197" s="477"/>
      <c r="P197" s="477"/>
      <c r="Q197" s="477"/>
      <c r="R197" s="490"/>
      <c r="S197" s="490"/>
      <c r="U197" s="542"/>
      <c r="V197" s="531"/>
    </row>
    <row r="198" spans="1:30" x14ac:dyDescent="0.2">
      <c r="A198" s="467"/>
      <c r="B198" s="486" t="s">
        <v>604</v>
      </c>
      <c r="C198" s="487" t="s">
        <v>459</v>
      </c>
      <c r="D198" s="492">
        <v>90</v>
      </c>
      <c r="E198" s="487">
        <v>1</v>
      </c>
      <c r="F198" s="487">
        <f t="shared" si="10"/>
        <v>90</v>
      </c>
      <c r="G198" s="492">
        <v>50</v>
      </c>
      <c r="I198" s="492"/>
      <c r="J198" s="489"/>
      <c r="K198" s="489"/>
      <c r="L198" s="490"/>
      <c r="M198" s="477"/>
      <c r="N198" s="477"/>
      <c r="O198" s="477"/>
      <c r="P198" s="477"/>
      <c r="Q198" s="477"/>
      <c r="R198" s="490"/>
      <c r="S198" s="490"/>
      <c r="U198" s="542"/>
      <c r="V198" s="531"/>
    </row>
    <row r="199" spans="1:30" x14ac:dyDescent="0.2">
      <c r="A199" s="467"/>
      <c r="B199" s="486" t="s">
        <v>605</v>
      </c>
      <c r="C199" s="487" t="s">
        <v>459</v>
      </c>
      <c r="D199" s="490">
        <f>AVERAGE(D197:D198)</f>
        <v>40</v>
      </c>
      <c r="E199" s="487">
        <v>1</v>
      </c>
      <c r="F199" s="487">
        <f t="shared" si="10"/>
        <v>40</v>
      </c>
      <c r="G199" s="492">
        <v>50</v>
      </c>
      <c r="H199" s="492"/>
      <c r="I199" s="492"/>
      <c r="J199" s="490"/>
      <c r="K199" s="489"/>
      <c r="L199" s="490"/>
      <c r="M199" s="477"/>
      <c r="N199" s="477"/>
      <c r="O199" s="477"/>
      <c r="P199" s="477"/>
      <c r="Q199" s="477"/>
      <c r="R199" s="490"/>
      <c r="S199" s="490"/>
      <c r="U199" s="542"/>
      <c r="V199" s="531"/>
      <c r="W199" s="556"/>
      <c r="X199" s="556"/>
      <c r="Y199" s="556"/>
      <c r="Z199" s="556"/>
      <c r="AA199" s="556"/>
      <c r="AB199" s="556"/>
      <c r="AC199" s="556"/>
      <c r="AD199" s="556"/>
    </row>
    <row r="200" spans="1:30" ht="16.5" customHeight="1" x14ac:dyDescent="0.2">
      <c r="A200" s="526" t="s">
        <v>189</v>
      </c>
      <c r="B200" s="534"/>
      <c r="C200" s="535"/>
      <c r="D200" s="536"/>
      <c r="E200" s="535"/>
      <c r="F200" s="536"/>
      <c r="G200" s="536"/>
      <c r="H200" s="537"/>
      <c r="I200" s="536"/>
      <c r="J200" s="536"/>
      <c r="K200" s="536"/>
      <c r="L200" s="538"/>
      <c r="M200" s="539"/>
      <c r="N200" s="539"/>
      <c r="O200" s="539"/>
      <c r="P200" s="539"/>
      <c r="Q200" s="539"/>
      <c r="R200" s="538"/>
      <c r="S200" s="538"/>
      <c r="T200" s="528"/>
      <c r="U200" s="548"/>
      <c r="V200" s="540"/>
    </row>
    <row r="201" spans="1:30" x14ac:dyDescent="0.2">
      <c r="A201" s="467" t="s">
        <v>191</v>
      </c>
      <c r="B201" s="486" t="s">
        <v>139</v>
      </c>
      <c r="C201" s="487"/>
      <c r="D201" s="492">
        <v>0</v>
      </c>
      <c r="E201" s="487">
        <v>0.95</v>
      </c>
      <c r="F201" s="492">
        <f t="shared" ref="F201:F232" si="11">D201*E201</f>
        <v>0</v>
      </c>
      <c r="G201" s="487">
        <v>50</v>
      </c>
      <c r="H201" s="452" t="s">
        <v>606</v>
      </c>
      <c r="I201" s="487"/>
      <c r="J201" s="487"/>
      <c r="K201" s="489"/>
      <c r="L201" s="490"/>
      <c r="M201" s="477"/>
      <c r="N201" s="477"/>
      <c r="O201" s="477"/>
      <c r="P201" s="477"/>
      <c r="Q201" s="477"/>
      <c r="R201" s="490"/>
      <c r="S201" s="490"/>
      <c r="U201" s="542"/>
      <c r="V201" s="531"/>
      <c r="W201" s="556"/>
      <c r="X201" s="556"/>
      <c r="Y201" s="556"/>
      <c r="Z201" s="556"/>
      <c r="AA201" s="556"/>
      <c r="AB201" s="556"/>
      <c r="AC201" s="556"/>
      <c r="AD201" s="556"/>
    </row>
    <row r="202" spans="1:30" x14ac:dyDescent="0.2">
      <c r="A202" s="467"/>
      <c r="B202" s="486" t="s">
        <v>541</v>
      </c>
      <c r="C202" s="487"/>
      <c r="D202" s="492">
        <v>0</v>
      </c>
      <c r="E202" s="487">
        <v>1</v>
      </c>
      <c r="F202" s="487">
        <f t="shared" si="11"/>
        <v>0</v>
      </c>
      <c r="G202" s="487">
        <v>50</v>
      </c>
      <c r="I202" s="492"/>
      <c r="J202" s="489"/>
      <c r="K202" s="489"/>
      <c r="L202" s="490"/>
      <c r="M202" s="477"/>
      <c r="N202" s="477"/>
      <c r="O202" s="477"/>
      <c r="P202" s="477"/>
      <c r="Q202" s="477"/>
      <c r="R202" s="490"/>
      <c r="S202" s="490"/>
      <c r="U202" s="542"/>
      <c r="V202" s="531"/>
    </row>
    <row r="203" spans="1:30" x14ac:dyDescent="0.2">
      <c r="A203" s="467"/>
      <c r="B203" s="486" t="s">
        <v>607</v>
      </c>
      <c r="C203" s="487" t="s">
        <v>459</v>
      </c>
      <c r="D203" s="492">
        <v>70</v>
      </c>
      <c r="E203" s="487">
        <v>1</v>
      </c>
      <c r="F203" s="492">
        <f t="shared" si="11"/>
        <v>70</v>
      </c>
      <c r="G203" s="492">
        <v>50</v>
      </c>
      <c r="H203" s="452" t="s">
        <v>608</v>
      </c>
      <c r="I203" s="492">
        <v>70</v>
      </c>
      <c r="J203" s="489"/>
      <c r="K203" s="489"/>
      <c r="L203" s="490"/>
      <c r="M203" s="477"/>
      <c r="N203" s="477"/>
      <c r="O203" s="477"/>
      <c r="P203" s="477"/>
      <c r="Q203" s="477"/>
      <c r="R203" s="490"/>
      <c r="S203" s="490"/>
      <c r="U203" s="542"/>
      <c r="V203" s="531"/>
    </row>
    <row r="204" spans="1:30" x14ac:dyDescent="0.2">
      <c r="A204" s="467"/>
      <c r="B204" s="486" t="s">
        <v>609</v>
      </c>
      <c r="C204" s="487" t="s">
        <v>459</v>
      </c>
      <c r="D204" s="490">
        <f>D203*D$97</f>
        <v>52.5</v>
      </c>
      <c r="E204" s="487">
        <v>1</v>
      </c>
      <c r="F204" s="492">
        <f t="shared" si="11"/>
        <v>52.5</v>
      </c>
      <c r="G204" s="492">
        <v>50</v>
      </c>
      <c r="I204" s="492"/>
      <c r="J204" s="490"/>
      <c r="K204" s="489"/>
      <c r="L204" s="490"/>
      <c r="M204" s="477"/>
      <c r="N204" s="477"/>
      <c r="O204" s="477"/>
      <c r="P204" s="477"/>
      <c r="Q204" s="477"/>
      <c r="R204" s="490"/>
      <c r="S204" s="490"/>
      <c r="U204" s="542"/>
      <c r="V204" s="531"/>
    </row>
    <row r="205" spans="1:30" x14ac:dyDescent="0.2">
      <c r="A205" s="467"/>
      <c r="B205" s="486" t="s">
        <v>610</v>
      </c>
      <c r="C205" s="487" t="s">
        <v>459</v>
      </c>
      <c r="D205" s="492">
        <v>30</v>
      </c>
      <c r="E205" s="487">
        <v>1</v>
      </c>
      <c r="F205" s="492">
        <f t="shared" si="11"/>
        <v>30</v>
      </c>
      <c r="G205" s="492">
        <v>50</v>
      </c>
      <c r="H205" s="452" t="s">
        <v>611</v>
      </c>
      <c r="I205" s="492">
        <v>30</v>
      </c>
      <c r="J205" s="489"/>
      <c r="K205" s="489"/>
      <c r="L205" s="490"/>
      <c r="M205" s="477"/>
      <c r="N205" s="477"/>
      <c r="O205" s="477"/>
      <c r="P205" s="477"/>
      <c r="Q205" s="477"/>
      <c r="R205" s="490"/>
      <c r="S205" s="490"/>
      <c r="U205" s="542"/>
      <c r="V205" s="531"/>
    </row>
    <row r="206" spans="1:30" x14ac:dyDescent="0.2">
      <c r="A206" s="467"/>
      <c r="B206" s="486" t="s">
        <v>612</v>
      </c>
      <c r="C206" s="487" t="s">
        <v>459</v>
      </c>
      <c r="D206" s="492">
        <v>40</v>
      </c>
      <c r="E206" s="487">
        <v>0.8</v>
      </c>
      <c r="F206" s="492">
        <f t="shared" si="11"/>
        <v>32</v>
      </c>
      <c r="G206" s="492">
        <v>50</v>
      </c>
      <c r="I206" s="492">
        <v>80</v>
      </c>
      <c r="J206" s="489"/>
      <c r="K206" s="489"/>
      <c r="L206" s="490"/>
      <c r="M206" s="477"/>
      <c r="N206" s="477"/>
      <c r="O206" s="477"/>
      <c r="P206" s="477"/>
      <c r="Q206" s="477"/>
      <c r="R206" s="490"/>
      <c r="S206" s="490"/>
      <c r="U206" s="542"/>
      <c r="V206" s="531"/>
    </row>
    <row r="207" spans="1:30" x14ac:dyDescent="0.2">
      <c r="A207" s="467"/>
      <c r="B207" s="486" t="s">
        <v>613</v>
      </c>
      <c r="C207" s="487" t="s">
        <v>459</v>
      </c>
      <c r="D207" s="492">
        <v>15</v>
      </c>
      <c r="E207" s="487">
        <v>1</v>
      </c>
      <c r="F207" s="492">
        <f t="shared" si="11"/>
        <v>15</v>
      </c>
      <c r="G207" s="492">
        <v>50</v>
      </c>
      <c r="H207" s="452" t="s">
        <v>614</v>
      </c>
      <c r="I207" s="492">
        <v>5</v>
      </c>
      <c r="J207" s="489"/>
      <c r="K207" s="489"/>
      <c r="L207" s="490"/>
      <c r="M207" s="477"/>
      <c r="N207" s="477"/>
      <c r="O207" s="477"/>
      <c r="P207" s="477"/>
      <c r="Q207" s="477"/>
      <c r="R207" s="490"/>
      <c r="S207" s="490"/>
      <c r="U207" s="542"/>
      <c r="V207" s="531"/>
    </row>
    <row r="208" spans="1:30" x14ac:dyDescent="0.2">
      <c r="A208" s="467"/>
      <c r="B208" s="486" t="s">
        <v>598</v>
      </c>
      <c r="C208" s="487" t="s">
        <v>459</v>
      </c>
      <c r="D208" s="492">
        <v>-5</v>
      </c>
      <c r="E208" s="487">
        <v>1</v>
      </c>
      <c r="F208" s="492">
        <f t="shared" si="11"/>
        <v>-5</v>
      </c>
      <c r="G208" s="492">
        <v>50</v>
      </c>
      <c r="H208" s="452" t="s">
        <v>615</v>
      </c>
      <c r="I208" s="492">
        <v>-15</v>
      </c>
      <c r="J208" s="489"/>
      <c r="K208" s="489"/>
      <c r="L208" s="490"/>
      <c r="M208" s="477"/>
      <c r="N208" s="477"/>
      <c r="O208" s="477"/>
      <c r="P208" s="477"/>
      <c r="Q208" s="477"/>
      <c r="R208" s="490"/>
      <c r="S208" s="490"/>
      <c r="U208" s="542"/>
      <c r="V208" s="531"/>
    </row>
    <row r="209" spans="1:22" x14ac:dyDescent="0.2">
      <c r="A209" s="467"/>
      <c r="B209" s="486" t="s">
        <v>616</v>
      </c>
      <c r="C209" s="487" t="s">
        <v>459</v>
      </c>
      <c r="D209" s="492">
        <v>-10</v>
      </c>
      <c r="E209" s="487">
        <v>1</v>
      </c>
      <c r="F209" s="492">
        <f t="shared" si="11"/>
        <v>-10</v>
      </c>
      <c r="G209" s="492">
        <v>50</v>
      </c>
      <c r="I209" s="492"/>
      <c r="J209" s="489"/>
      <c r="K209" s="489"/>
      <c r="L209" s="490"/>
      <c r="M209" s="477"/>
      <c r="N209" s="477"/>
      <c r="O209" s="477"/>
      <c r="P209" s="477"/>
      <c r="Q209" s="477"/>
      <c r="R209" s="490"/>
      <c r="S209" s="490"/>
      <c r="U209" s="542"/>
      <c r="V209" s="531"/>
    </row>
    <row r="210" spans="1:22" x14ac:dyDescent="0.2">
      <c r="A210" s="467" t="s">
        <v>193</v>
      </c>
      <c r="B210" s="486" t="s">
        <v>139</v>
      </c>
      <c r="C210" s="487"/>
      <c r="D210" s="492">
        <v>0</v>
      </c>
      <c r="E210" s="487">
        <v>0.95</v>
      </c>
      <c r="F210" s="492">
        <f t="shared" si="11"/>
        <v>0</v>
      </c>
      <c r="G210" s="487">
        <v>35</v>
      </c>
      <c r="H210" s="452" t="s">
        <v>617</v>
      </c>
      <c r="I210" s="487"/>
      <c r="J210" s="487"/>
      <c r="K210" s="489"/>
      <c r="L210" s="490"/>
      <c r="M210" s="477"/>
      <c r="N210" s="477"/>
      <c r="O210" s="477"/>
      <c r="P210" s="477"/>
      <c r="Q210" s="477"/>
      <c r="R210" s="490"/>
      <c r="S210" s="490"/>
      <c r="U210" s="542"/>
      <c r="V210" s="531"/>
    </row>
    <row r="211" spans="1:22" x14ac:dyDescent="0.2">
      <c r="A211" s="467"/>
      <c r="B211" s="486" t="s">
        <v>541</v>
      </c>
      <c r="C211" s="487"/>
      <c r="D211" s="492">
        <v>0</v>
      </c>
      <c r="E211" s="487">
        <v>1</v>
      </c>
      <c r="F211" s="487">
        <f t="shared" si="11"/>
        <v>0</v>
      </c>
      <c r="G211" s="487">
        <v>35</v>
      </c>
      <c r="I211" s="492"/>
      <c r="J211" s="489"/>
      <c r="K211" s="489"/>
      <c r="L211" s="490"/>
      <c r="M211" s="477"/>
      <c r="N211" s="477"/>
      <c r="O211" s="477"/>
      <c r="P211" s="477"/>
      <c r="Q211" s="477"/>
      <c r="R211" s="490"/>
      <c r="S211" s="490"/>
      <c r="U211" s="542"/>
      <c r="V211" s="531"/>
    </row>
    <row r="212" spans="1:22" x14ac:dyDescent="0.2">
      <c r="A212" s="467"/>
      <c r="B212" s="486" t="s">
        <v>618</v>
      </c>
      <c r="C212" s="487" t="s">
        <v>459</v>
      </c>
      <c r="D212" s="492">
        <f>250+10</f>
        <v>260</v>
      </c>
      <c r="E212" s="487">
        <v>0.9</v>
      </c>
      <c r="F212" s="492">
        <f t="shared" si="11"/>
        <v>234</v>
      </c>
      <c r="G212" s="492">
        <v>50</v>
      </c>
      <c r="H212" s="559" t="s">
        <v>619</v>
      </c>
      <c r="I212" s="492">
        <v>130</v>
      </c>
      <c r="J212" s="489"/>
      <c r="K212" s="489"/>
      <c r="L212" s="490"/>
      <c r="M212" s="477"/>
      <c r="N212" s="477"/>
      <c r="O212" s="477"/>
      <c r="P212" s="477"/>
      <c r="Q212" s="477"/>
      <c r="R212" s="490"/>
      <c r="S212" s="490"/>
      <c r="U212" s="542"/>
      <c r="V212" s="531"/>
    </row>
    <row r="213" spans="1:22" x14ac:dyDescent="0.2">
      <c r="A213" s="467"/>
      <c r="B213" s="486" t="s">
        <v>620</v>
      </c>
      <c r="C213" s="487" t="s">
        <v>459</v>
      </c>
      <c r="D213" s="492">
        <f>150+10</f>
        <v>160</v>
      </c>
      <c r="E213" s="487">
        <v>0.9</v>
      </c>
      <c r="F213" s="492">
        <f t="shared" si="11"/>
        <v>144</v>
      </c>
      <c r="G213" s="492">
        <v>30</v>
      </c>
      <c r="I213" s="492">
        <v>115</v>
      </c>
      <c r="J213" s="489"/>
      <c r="K213" s="489"/>
      <c r="L213" s="490"/>
      <c r="M213" s="477"/>
      <c r="N213" s="477"/>
      <c r="O213" s="477"/>
      <c r="P213" s="477"/>
      <c r="Q213" s="477"/>
      <c r="R213" s="490"/>
      <c r="S213" s="490"/>
      <c r="U213" s="542"/>
      <c r="V213" s="531"/>
    </row>
    <row r="214" spans="1:22" x14ac:dyDescent="0.2">
      <c r="A214" s="467"/>
      <c r="B214" s="486" t="s">
        <v>621</v>
      </c>
      <c r="C214" s="487" t="s">
        <v>459</v>
      </c>
      <c r="D214" s="492">
        <f>120+10</f>
        <v>130</v>
      </c>
      <c r="E214" s="487">
        <v>0.9</v>
      </c>
      <c r="F214" s="492">
        <f t="shared" si="11"/>
        <v>117</v>
      </c>
      <c r="G214" s="492">
        <v>30</v>
      </c>
      <c r="I214" s="492">
        <v>105</v>
      </c>
      <c r="J214" s="489"/>
      <c r="K214" s="489"/>
      <c r="L214" s="490"/>
      <c r="M214" s="477"/>
      <c r="N214" s="477"/>
      <c r="O214" s="477"/>
      <c r="P214" s="477"/>
      <c r="Q214" s="477"/>
      <c r="R214" s="490"/>
      <c r="S214" s="490"/>
      <c r="U214" s="542"/>
      <c r="V214" s="531"/>
    </row>
    <row r="215" spans="1:22" x14ac:dyDescent="0.2">
      <c r="A215" s="467"/>
      <c r="B215" s="486" t="s">
        <v>622</v>
      </c>
      <c r="C215" s="487" t="s">
        <v>459</v>
      </c>
      <c r="D215" s="492">
        <f>120+10</f>
        <v>130</v>
      </c>
      <c r="E215" s="487">
        <v>1</v>
      </c>
      <c r="F215" s="492">
        <f t="shared" si="11"/>
        <v>130</v>
      </c>
      <c r="G215" s="492">
        <v>30</v>
      </c>
      <c r="I215" s="492">
        <v>85</v>
      </c>
      <c r="J215" s="489"/>
      <c r="K215" s="489"/>
      <c r="L215" s="490"/>
      <c r="M215" s="477"/>
      <c r="N215" s="477"/>
      <c r="O215" s="477"/>
      <c r="P215" s="477"/>
      <c r="Q215" s="477"/>
      <c r="R215" s="490"/>
      <c r="S215" s="490"/>
      <c r="U215" s="542"/>
      <c r="V215" s="531"/>
    </row>
    <row r="216" spans="1:22" x14ac:dyDescent="0.2">
      <c r="A216" s="467"/>
      <c r="B216" s="486" t="s">
        <v>623</v>
      </c>
      <c r="C216" s="487" t="s">
        <v>459</v>
      </c>
      <c r="D216" s="492">
        <f>70+5</f>
        <v>75</v>
      </c>
      <c r="E216" s="487">
        <v>1</v>
      </c>
      <c r="F216" s="492">
        <f t="shared" si="11"/>
        <v>75</v>
      </c>
      <c r="G216" s="492">
        <v>30</v>
      </c>
      <c r="I216" s="492">
        <v>40</v>
      </c>
      <c r="J216" s="489"/>
      <c r="K216" s="489"/>
      <c r="L216" s="490"/>
      <c r="M216" s="477"/>
      <c r="N216" s="477"/>
      <c r="O216" s="477"/>
      <c r="P216" s="477"/>
      <c r="Q216" s="477"/>
      <c r="R216" s="490"/>
      <c r="S216" s="490"/>
      <c r="U216" s="542"/>
      <c r="V216" s="531"/>
    </row>
    <row r="217" spans="1:22" x14ac:dyDescent="0.2">
      <c r="A217" s="467"/>
      <c r="B217" s="486" t="s">
        <v>624</v>
      </c>
      <c r="C217" s="487" t="s">
        <v>459</v>
      </c>
      <c r="D217" s="492">
        <f>20+5</f>
        <v>25</v>
      </c>
      <c r="E217" s="487">
        <v>1</v>
      </c>
      <c r="F217" s="492">
        <f t="shared" si="11"/>
        <v>25</v>
      </c>
      <c r="G217" s="492">
        <v>30</v>
      </c>
      <c r="H217" s="452" t="s">
        <v>625</v>
      </c>
      <c r="I217" s="492"/>
      <c r="J217" s="489"/>
      <c r="K217" s="489"/>
      <c r="L217" s="490"/>
      <c r="M217" s="477"/>
      <c r="N217" s="477"/>
      <c r="O217" s="477"/>
      <c r="P217" s="477"/>
      <c r="Q217" s="477"/>
      <c r="R217" s="490"/>
      <c r="S217" s="490"/>
      <c r="U217" s="542"/>
      <c r="V217" s="531"/>
    </row>
    <row r="218" spans="1:22" x14ac:dyDescent="0.2">
      <c r="A218" s="467" t="s">
        <v>194</v>
      </c>
      <c r="B218" s="486" t="s">
        <v>139</v>
      </c>
      <c r="C218" s="487"/>
      <c r="D218" s="492">
        <v>0</v>
      </c>
      <c r="E218" s="487">
        <v>0.9</v>
      </c>
      <c r="F218" s="492">
        <f t="shared" si="11"/>
        <v>0</v>
      </c>
      <c r="G218" s="487">
        <v>50</v>
      </c>
      <c r="I218" s="487"/>
      <c r="J218" s="487"/>
      <c r="K218" s="489"/>
      <c r="L218" s="490"/>
      <c r="M218" s="477"/>
      <c r="N218" s="477"/>
      <c r="O218" s="477"/>
      <c r="P218" s="477"/>
      <c r="Q218" s="477"/>
      <c r="R218" s="490"/>
      <c r="S218" s="490"/>
      <c r="U218" s="542"/>
      <c r="V218" s="531"/>
    </row>
    <row r="219" spans="1:22" x14ac:dyDescent="0.2">
      <c r="A219" s="467"/>
      <c r="B219" s="486" t="s">
        <v>541</v>
      </c>
      <c r="C219" s="487"/>
      <c r="D219" s="492">
        <v>0</v>
      </c>
      <c r="E219" s="487">
        <v>1</v>
      </c>
      <c r="F219" s="487">
        <f t="shared" si="11"/>
        <v>0</v>
      </c>
      <c r="G219" s="487">
        <v>50</v>
      </c>
      <c r="I219" s="492"/>
      <c r="J219" s="489"/>
      <c r="K219" s="489"/>
      <c r="L219" s="490"/>
      <c r="M219" s="477"/>
      <c r="N219" s="477"/>
      <c r="O219" s="477"/>
      <c r="P219" s="477"/>
      <c r="Q219" s="477"/>
      <c r="R219" s="490"/>
      <c r="S219" s="490"/>
      <c r="U219" s="542"/>
      <c r="V219" s="531"/>
    </row>
    <row r="220" spans="1:22" x14ac:dyDescent="0.2">
      <c r="A220" s="467"/>
      <c r="B220" s="486" t="s">
        <v>626</v>
      </c>
      <c r="C220" s="487" t="s">
        <v>459</v>
      </c>
      <c r="D220" s="492">
        <v>1</v>
      </c>
      <c r="E220" s="487">
        <v>1</v>
      </c>
      <c r="F220" s="492">
        <f t="shared" si="11"/>
        <v>1</v>
      </c>
      <c r="G220" s="492">
        <v>10</v>
      </c>
      <c r="I220" s="492">
        <v>1</v>
      </c>
      <c r="J220" s="489"/>
      <c r="K220" s="489"/>
      <c r="L220" s="490"/>
      <c r="M220" s="477"/>
      <c r="N220" s="477"/>
      <c r="O220" s="477"/>
      <c r="P220" s="477"/>
      <c r="Q220" s="477"/>
      <c r="R220" s="490"/>
      <c r="S220" s="490"/>
      <c r="U220" s="542"/>
      <c r="V220" s="531"/>
    </row>
    <row r="221" spans="1:22" x14ac:dyDescent="0.2">
      <c r="A221" s="467"/>
      <c r="B221" s="486" t="s">
        <v>627</v>
      </c>
      <c r="C221" s="487" t="s">
        <v>459</v>
      </c>
      <c r="D221" s="492">
        <v>10</v>
      </c>
      <c r="E221" s="487">
        <v>1</v>
      </c>
      <c r="F221" s="492">
        <f t="shared" si="11"/>
        <v>10</v>
      </c>
      <c r="G221" s="492">
        <v>50</v>
      </c>
      <c r="I221" s="492">
        <v>8</v>
      </c>
      <c r="J221" s="489"/>
      <c r="K221" s="489"/>
      <c r="L221" s="490"/>
      <c r="M221" s="477"/>
      <c r="N221" s="477"/>
      <c r="O221" s="477"/>
      <c r="P221" s="477"/>
      <c r="Q221" s="477"/>
      <c r="R221" s="490"/>
      <c r="S221" s="490"/>
      <c r="U221" s="542"/>
      <c r="V221" s="531"/>
    </row>
    <row r="222" spans="1:22" x14ac:dyDescent="0.2">
      <c r="A222" s="467"/>
      <c r="B222" s="486" t="s">
        <v>628</v>
      </c>
      <c r="C222" s="487" t="s">
        <v>459</v>
      </c>
      <c r="D222" s="492">
        <v>20</v>
      </c>
      <c r="E222" s="487">
        <v>1</v>
      </c>
      <c r="F222" s="492">
        <f t="shared" si="11"/>
        <v>20</v>
      </c>
      <c r="G222" s="492">
        <v>50</v>
      </c>
      <c r="I222" s="492">
        <v>20</v>
      </c>
      <c r="J222" s="489"/>
      <c r="K222" s="489"/>
      <c r="L222" s="490"/>
      <c r="M222" s="477"/>
      <c r="N222" s="477"/>
      <c r="O222" s="477"/>
      <c r="P222" s="477"/>
      <c r="Q222" s="477"/>
      <c r="R222" s="490"/>
      <c r="S222" s="490"/>
      <c r="U222" s="542"/>
      <c r="V222" s="531"/>
    </row>
    <row r="223" spans="1:22" x14ac:dyDescent="0.2">
      <c r="A223" s="467"/>
      <c r="B223" s="486" t="s">
        <v>629</v>
      </c>
      <c r="C223" s="487" t="s">
        <v>459</v>
      </c>
      <c r="D223" s="492">
        <v>45</v>
      </c>
      <c r="E223" s="487">
        <v>1</v>
      </c>
      <c r="F223" s="492">
        <f t="shared" si="11"/>
        <v>45</v>
      </c>
      <c r="G223" s="492">
        <v>50</v>
      </c>
      <c r="I223" s="492">
        <v>20</v>
      </c>
      <c r="J223" s="489"/>
      <c r="K223" s="489"/>
      <c r="L223" s="490"/>
      <c r="M223" s="477"/>
      <c r="N223" s="477"/>
      <c r="O223" s="477"/>
      <c r="P223" s="477"/>
      <c r="Q223" s="477"/>
      <c r="R223" s="490"/>
      <c r="S223" s="490"/>
      <c r="U223" s="542"/>
      <c r="V223" s="531"/>
    </row>
    <row r="224" spans="1:22" x14ac:dyDescent="0.2">
      <c r="A224" s="467"/>
      <c r="B224" s="486" t="s">
        <v>630</v>
      </c>
      <c r="C224" s="487" t="s">
        <v>459</v>
      </c>
      <c r="D224" s="492">
        <v>55</v>
      </c>
      <c r="E224" s="487">
        <v>1</v>
      </c>
      <c r="F224" s="492">
        <f t="shared" si="11"/>
        <v>55</v>
      </c>
      <c r="G224" s="492">
        <v>50</v>
      </c>
      <c r="I224" s="492">
        <v>45</v>
      </c>
      <c r="J224" s="489"/>
      <c r="K224" s="489"/>
      <c r="L224" s="490"/>
      <c r="M224" s="477"/>
      <c r="N224" s="477"/>
      <c r="O224" s="477"/>
      <c r="P224" s="477"/>
      <c r="Q224" s="477"/>
      <c r="R224" s="490"/>
      <c r="S224" s="490"/>
      <c r="U224" s="542"/>
      <c r="V224" s="531"/>
    </row>
    <row r="225" spans="1:22" x14ac:dyDescent="0.2">
      <c r="A225" s="467"/>
      <c r="B225" s="486" t="s">
        <v>631</v>
      </c>
      <c r="C225" s="487" t="s">
        <v>459</v>
      </c>
      <c r="D225" s="492">
        <v>25</v>
      </c>
      <c r="E225" s="487">
        <v>0.8</v>
      </c>
      <c r="F225" s="492">
        <f t="shared" si="11"/>
        <v>20</v>
      </c>
      <c r="G225" s="492">
        <v>50</v>
      </c>
      <c r="I225" s="492">
        <v>35</v>
      </c>
      <c r="J225" s="489"/>
      <c r="K225" s="489"/>
      <c r="L225" s="490"/>
      <c r="M225" s="477"/>
      <c r="N225" s="477"/>
      <c r="O225" s="477"/>
      <c r="P225" s="477"/>
      <c r="Q225" s="477"/>
      <c r="R225" s="490"/>
      <c r="S225" s="490"/>
      <c r="U225" s="542"/>
      <c r="V225" s="531"/>
    </row>
    <row r="226" spans="1:22" x14ac:dyDescent="0.2">
      <c r="A226" s="467"/>
      <c r="B226" s="486" t="s">
        <v>632</v>
      </c>
      <c r="C226" s="487" t="s">
        <v>459</v>
      </c>
      <c r="D226" s="492">
        <v>150</v>
      </c>
      <c r="E226" s="487">
        <v>0.8</v>
      </c>
      <c r="F226" s="492">
        <f t="shared" si="11"/>
        <v>120</v>
      </c>
      <c r="G226" s="492">
        <v>50</v>
      </c>
      <c r="I226" s="492">
        <v>80</v>
      </c>
      <c r="J226" s="489"/>
      <c r="K226" s="489"/>
      <c r="L226" s="490"/>
      <c r="M226" s="477"/>
      <c r="N226" s="477"/>
      <c r="O226" s="477"/>
      <c r="P226" s="477"/>
      <c r="Q226" s="477"/>
      <c r="R226" s="490"/>
      <c r="S226" s="490"/>
      <c r="U226" s="542"/>
      <c r="V226" s="531"/>
    </row>
    <row r="227" spans="1:22" x14ac:dyDescent="0.2">
      <c r="A227" s="467"/>
      <c r="B227" s="486" t="s">
        <v>633</v>
      </c>
      <c r="C227" s="487" t="s">
        <v>459</v>
      </c>
      <c r="D227" s="492">
        <v>-5</v>
      </c>
      <c r="E227" s="487">
        <v>1</v>
      </c>
      <c r="F227" s="492">
        <f t="shared" si="11"/>
        <v>-5</v>
      </c>
      <c r="G227" s="492">
        <v>50</v>
      </c>
      <c r="H227" s="452" t="s">
        <v>634</v>
      </c>
      <c r="I227" s="492">
        <v>0</v>
      </c>
      <c r="J227" s="489"/>
      <c r="K227" s="489"/>
      <c r="L227" s="490"/>
      <c r="M227" s="477"/>
      <c r="N227" s="477"/>
      <c r="O227" s="477"/>
      <c r="P227" s="477"/>
      <c r="Q227" s="477"/>
      <c r="R227" s="490"/>
      <c r="S227" s="490"/>
      <c r="U227" s="542"/>
      <c r="V227" s="531"/>
    </row>
    <row r="228" spans="1:22" x14ac:dyDescent="0.2">
      <c r="A228" s="467"/>
      <c r="B228" s="486" t="s">
        <v>635</v>
      </c>
      <c r="C228" s="487" t="s">
        <v>459</v>
      </c>
      <c r="D228" s="492">
        <v>5</v>
      </c>
      <c r="E228" s="487">
        <v>1</v>
      </c>
      <c r="F228" s="492">
        <f t="shared" si="11"/>
        <v>5</v>
      </c>
      <c r="G228" s="492">
        <v>50</v>
      </c>
      <c r="H228" s="452" t="s">
        <v>636</v>
      </c>
      <c r="I228" s="492"/>
      <c r="J228" s="489"/>
      <c r="K228" s="489"/>
      <c r="L228" s="490"/>
      <c r="M228" s="477"/>
      <c r="N228" s="477"/>
      <c r="O228" s="477"/>
      <c r="P228" s="477"/>
      <c r="Q228" s="477"/>
      <c r="R228" s="490"/>
      <c r="S228" s="490"/>
      <c r="U228" s="542"/>
      <c r="V228" s="531"/>
    </row>
    <row r="229" spans="1:22" x14ac:dyDescent="0.2">
      <c r="A229" s="467" t="s">
        <v>195</v>
      </c>
      <c r="B229" s="486" t="s">
        <v>139</v>
      </c>
      <c r="C229" s="487"/>
      <c r="D229" s="492">
        <v>0</v>
      </c>
      <c r="E229" s="487">
        <v>1</v>
      </c>
      <c r="F229" s="487">
        <f t="shared" si="11"/>
        <v>0</v>
      </c>
      <c r="G229" s="487">
        <v>50</v>
      </c>
      <c r="I229" s="487"/>
      <c r="J229" s="487"/>
      <c r="K229" s="489"/>
      <c r="L229" s="490"/>
      <c r="M229" s="477"/>
      <c r="N229" s="477"/>
      <c r="O229" s="477"/>
      <c r="P229" s="477"/>
      <c r="Q229" s="477"/>
      <c r="R229" s="490"/>
      <c r="S229" s="490"/>
      <c r="U229" s="542"/>
      <c r="V229" s="531"/>
    </row>
    <row r="230" spans="1:22" x14ac:dyDescent="0.2">
      <c r="A230" s="467"/>
      <c r="B230" s="486" t="s">
        <v>541</v>
      </c>
      <c r="C230" s="487"/>
      <c r="D230" s="492">
        <v>0</v>
      </c>
      <c r="E230" s="487">
        <v>1</v>
      </c>
      <c r="F230" s="487">
        <f t="shared" si="11"/>
        <v>0</v>
      </c>
      <c r="G230" s="487">
        <v>50</v>
      </c>
      <c r="I230" s="492"/>
      <c r="J230" s="489"/>
      <c r="K230" s="489"/>
      <c r="L230" s="490"/>
      <c r="M230" s="477"/>
      <c r="N230" s="477"/>
      <c r="O230" s="477"/>
      <c r="P230" s="477"/>
      <c r="Q230" s="477"/>
      <c r="R230" s="490"/>
      <c r="S230" s="490"/>
      <c r="U230" s="542"/>
      <c r="V230" s="531"/>
    </row>
    <row r="231" spans="1:22" x14ac:dyDescent="0.2">
      <c r="A231" s="467"/>
      <c r="B231" s="486" t="s">
        <v>637</v>
      </c>
      <c r="C231" s="487" t="s">
        <v>459</v>
      </c>
      <c r="D231" s="492">
        <v>15</v>
      </c>
      <c r="E231" s="487">
        <v>1</v>
      </c>
      <c r="F231" s="487">
        <f t="shared" si="11"/>
        <v>15</v>
      </c>
      <c r="G231" s="492">
        <v>50</v>
      </c>
      <c r="H231" s="452" t="s">
        <v>638</v>
      </c>
      <c r="I231" s="492">
        <v>20</v>
      </c>
      <c r="J231" s="489"/>
      <c r="K231" s="489"/>
      <c r="L231" s="490"/>
      <c r="M231" s="477"/>
      <c r="N231" s="477"/>
      <c r="O231" s="477"/>
      <c r="P231" s="477"/>
      <c r="Q231" s="477"/>
      <c r="R231" s="490"/>
      <c r="S231" s="490"/>
      <c r="U231" s="542"/>
      <c r="V231" s="531"/>
    </row>
    <row r="232" spans="1:22" x14ac:dyDescent="0.2">
      <c r="A232" s="467"/>
      <c r="B232" s="486" t="s">
        <v>639</v>
      </c>
      <c r="C232" s="487" t="s">
        <v>459</v>
      </c>
      <c r="D232" s="492">
        <v>-5</v>
      </c>
      <c r="E232" s="487">
        <v>1</v>
      </c>
      <c r="F232" s="487">
        <f t="shared" si="11"/>
        <v>-5</v>
      </c>
      <c r="G232" s="492">
        <v>50</v>
      </c>
      <c r="H232" s="452" t="s">
        <v>640</v>
      </c>
      <c r="I232" s="492">
        <v>-10</v>
      </c>
      <c r="J232" s="489"/>
      <c r="K232" s="489"/>
      <c r="L232" s="490"/>
      <c r="M232" s="477"/>
      <c r="N232" s="477"/>
      <c r="O232" s="477"/>
      <c r="P232" s="477"/>
      <c r="Q232" s="477"/>
      <c r="R232" s="490"/>
      <c r="S232" s="490"/>
      <c r="U232" s="542"/>
      <c r="V232" s="531"/>
    </row>
    <row r="233" spans="1:22" x14ac:dyDescent="0.2">
      <c r="A233" s="467" t="s">
        <v>196</v>
      </c>
      <c r="B233" s="486" t="s">
        <v>139</v>
      </c>
      <c r="C233" s="487"/>
      <c r="D233" s="492">
        <v>0</v>
      </c>
      <c r="E233" s="487">
        <v>0.9</v>
      </c>
      <c r="F233" s="492">
        <f t="shared" ref="F233:F253" si="12">D233*E233</f>
        <v>0</v>
      </c>
      <c r="G233" s="487">
        <v>30</v>
      </c>
      <c r="I233" s="487"/>
      <c r="J233" s="487"/>
      <c r="K233" s="489"/>
      <c r="L233" s="490"/>
      <c r="M233" s="477"/>
      <c r="N233" s="477"/>
      <c r="O233" s="477"/>
      <c r="P233" s="477"/>
      <c r="Q233" s="477"/>
      <c r="R233" s="490"/>
      <c r="S233" s="490"/>
      <c r="U233" s="542"/>
      <c r="V233" s="531"/>
    </row>
    <row r="234" spans="1:22" x14ac:dyDescent="0.2">
      <c r="A234" s="467"/>
      <c r="B234" s="486" t="s">
        <v>541</v>
      </c>
      <c r="C234" s="487"/>
      <c r="D234" s="492">
        <v>0</v>
      </c>
      <c r="E234" s="487">
        <v>1</v>
      </c>
      <c r="F234" s="487">
        <f t="shared" si="12"/>
        <v>0</v>
      </c>
      <c r="G234" s="487">
        <v>50</v>
      </c>
      <c r="I234" s="492"/>
      <c r="J234" s="489"/>
      <c r="K234" s="489"/>
      <c r="L234" s="490"/>
      <c r="M234" s="477"/>
      <c r="N234" s="477"/>
      <c r="O234" s="477"/>
      <c r="P234" s="477"/>
      <c r="Q234" s="477"/>
      <c r="R234" s="490"/>
      <c r="S234" s="490"/>
      <c r="U234" s="542"/>
      <c r="V234" s="531"/>
    </row>
    <row r="235" spans="1:22" x14ac:dyDescent="0.2">
      <c r="A235" s="467"/>
      <c r="B235" s="486" t="s">
        <v>197</v>
      </c>
      <c r="C235" s="487" t="s">
        <v>459</v>
      </c>
      <c r="D235" s="492">
        <v>10</v>
      </c>
      <c r="E235" s="487">
        <v>1</v>
      </c>
      <c r="F235" s="487">
        <f t="shared" si="12"/>
        <v>10</v>
      </c>
      <c r="G235" s="492">
        <v>20</v>
      </c>
      <c r="H235" s="489"/>
      <c r="I235" s="489"/>
      <c r="J235" s="489"/>
      <c r="K235" s="489"/>
      <c r="L235" s="490"/>
      <c r="M235" s="477"/>
      <c r="N235" s="477"/>
      <c r="O235" s="477"/>
      <c r="P235" s="477"/>
      <c r="Q235" s="477"/>
      <c r="R235" s="490"/>
      <c r="S235" s="490"/>
      <c r="U235" s="542"/>
      <c r="V235" s="531"/>
    </row>
    <row r="236" spans="1:22" x14ac:dyDescent="0.2">
      <c r="A236" s="467"/>
      <c r="B236" s="486" t="s">
        <v>199</v>
      </c>
      <c r="C236" s="487" t="s">
        <v>459</v>
      </c>
      <c r="D236" s="492">
        <v>50</v>
      </c>
      <c r="E236" s="487">
        <v>1</v>
      </c>
      <c r="F236" s="487">
        <f t="shared" si="12"/>
        <v>50</v>
      </c>
      <c r="G236" s="492">
        <v>30</v>
      </c>
      <c r="H236" s="489"/>
      <c r="I236" s="489"/>
      <c r="J236" s="489"/>
      <c r="K236" s="489"/>
      <c r="L236" s="490"/>
      <c r="M236" s="477"/>
      <c r="N236" s="477"/>
      <c r="O236" s="477"/>
      <c r="P236" s="477"/>
      <c r="Q236" s="477"/>
      <c r="R236" s="490"/>
      <c r="S236" s="490"/>
      <c r="U236" s="542"/>
      <c r="V236" s="531"/>
    </row>
    <row r="237" spans="1:22" x14ac:dyDescent="0.2">
      <c r="A237" s="467"/>
      <c r="B237" s="486" t="s">
        <v>200</v>
      </c>
      <c r="C237" s="487" t="s">
        <v>459</v>
      </c>
      <c r="D237" s="492">
        <v>100</v>
      </c>
      <c r="E237" s="487">
        <v>1</v>
      </c>
      <c r="F237" s="487">
        <f t="shared" si="12"/>
        <v>100</v>
      </c>
      <c r="G237" s="492">
        <v>30</v>
      </c>
      <c r="H237" s="489"/>
      <c r="I237" s="489"/>
      <c r="J237" s="489"/>
      <c r="K237" s="489"/>
      <c r="L237" s="490"/>
      <c r="M237" s="477"/>
      <c r="N237" s="477"/>
      <c r="O237" s="477"/>
      <c r="P237" s="477"/>
      <c r="Q237" s="477"/>
      <c r="R237" s="490"/>
      <c r="S237" s="490"/>
      <c r="U237" s="542"/>
      <c r="V237" s="531"/>
    </row>
    <row r="238" spans="1:22" x14ac:dyDescent="0.2">
      <c r="A238" s="467"/>
      <c r="B238" s="486" t="s">
        <v>201</v>
      </c>
      <c r="C238" s="487" t="s">
        <v>459</v>
      </c>
      <c r="D238" s="492">
        <v>200</v>
      </c>
      <c r="E238" s="487">
        <v>1</v>
      </c>
      <c r="F238" s="487">
        <f t="shared" si="12"/>
        <v>200</v>
      </c>
      <c r="G238" s="492">
        <v>30</v>
      </c>
      <c r="H238" s="489"/>
      <c r="I238" s="489"/>
      <c r="J238" s="489"/>
      <c r="K238" s="489"/>
      <c r="L238" s="490"/>
      <c r="M238" s="477"/>
      <c r="N238" s="477"/>
      <c r="O238" s="477"/>
      <c r="P238" s="477"/>
      <c r="Q238" s="477"/>
      <c r="R238" s="490"/>
      <c r="S238" s="490"/>
      <c r="U238" s="542"/>
      <c r="V238" s="531"/>
    </row>
    <row r="239" spans="1:22" x14ac:dyDescent="0.2">
      <c r="A239" s="467" t="s">
        <v>202</v>
      </c>
      <c r="B239" s="486" t="s">
        <v>139</v>
      </c>
      <c r="C239" s="487"/>
      <c r="D239" s="492">
        <v>0</v>
      </c>
      <c r="E239" s="487">
        <v>0.9</v>
      </c>
      <c r="F239" s="492">
        <f t="shared" si="12"/>
        <v>0</v>
      </c>
      <c r="G239" s="487">
        <v>50</v>
      </c>
      <c r="I239" s="487"/>
      <c r="J239" s="487"/>
      <c r="K239" s="489"/>
      <c r="L239" s="490"/>
      <c r="M239" s="477"/>
      <c r="N239" s="477"/>
      <c r="O239" s="477"/>
      <c r="P239" s="477"/>
      <c r="Q239" s="477"/>
      <c r="R239" s="490"/>
      <c r="S239" s="490"/>
      <c r="U239" s="542"/>
      <c r="V239" s="531"/>
    </row>
    <row r="240" spans="1:22" x14ac:dyDescent="0.2">
      <c r="A240" s="467"/>
      <c r="B240" s="486" t="s">
        <v>541</v>
      </c>
      <c r="C240" s="487"/>
      <c r="D240" s="492">
        <v>0</v>
      </c>
      <c r="E240" s="487">
        <v>1</v>
      </c>
      <c r="F240" s="487">
        <f t="shared" si="12"/>
        <v>0</v>
      </c>
      <c r="G240" s="487">
        <v>50</v>
      </c>
      <c r="I240" s="492"/>
      <c r="J240" s="489"/>
      <c r="K240" s="489"/>
      <c r="L240" s="490"/>
      <c r="M240" s="477"/>
      <c r="N240" s="477"/>
      <c r="O240" s="477"/>
      <c r="P240" s="477"/>
      <c r="Q240" s="477"/>
      <c r="R240" s="490"/>
      <c r="S240" s="490"/>
      <c r="U240" s="542"/>
      <c r="V240" s="531"/>
    </row>
    <row r="241" spans="1:22" x14ac:dyDescent="0.2">
      <c r="A241" s="467"/>
      <c r="B241" s="486" t="s">
        <v>543</v>
      </c>
      <c r="C241" s="487" t="s">
        <v>459</v>
      </c>
      <c r="D241" s="492">
        <v>88</v>
      </c>
      <c r="E241" s="487">
        <v>1</v>
      </c>
      <c r="F241" s="492">
        <f t="shared" si="12"/>
        <v>88</v>
      </c>
      <c r="G241" s="492">
        <v>50</v>
      </c>
      <c r="H241" s="452" t="s">
        <v>641</v>
      </c>
      <c r="I241" s="492">
        <v>108</v>
      </c>
      <c r="J241" s="489"/>
      <c r="K241" s="489"/>
      <c r="L241" s="490"/>
      <c r="M241" s="477"/>
      <c r="N241" s="477"/>
      <c r="O241" s="477"/>
      <c r="P241" s="477"/>
      <c r="Q241" s="477"/>
      <c r="R241" s="490"/>
      <c r="S241" s="490"/>
      <c r="U241" s="542"/>
      <c r="V241" s="531"/>
    </row>
    <row r="242" spans="1:22" x14ac:dyDescent="0.2">
      <c r="A242" s="467"/>
      <c r="B242" s="486" t="s">
        <v>642</v>
      </c>
      <c r="C242" s="487" t="s">
        <v>459</v>
      </c>
      <c r="D242" s="492">
        <v>-22</v>
      </c>
      <c r="E242" s="487">
        <v>1</v>
      </c>
      <c r="F242" s="492">
        <f t="shared" si="12"/>
        <v>-22</v>
      </c>
      <c r="G242" s="492">
        <v>50</v>
      </c>
      <c r="H242" s="452" t="s">
        <v>643</v>
      </c>
      <c r="I242" s="492">
        <v>-20</v>
      </c>
      <c r="J242" s="489"/>
      <c r="K242" s="489"/>
      <c r="L242" s="490"/>
      <c r="M242" s="477"/>
      <c r="N242" s="477"/>
      <c r="O242" s="477"/>
      <c r="P242" s="477"/>
      <c r="Q242" s="477"/>
      <c r="R242" s="490"/>
      <c r="S242" s="490"/>
      <c r="U242" s="542"/>
      <c r="V242" s="531"/>
    </row>
    <row r="243" spans="1:22" x14ac:dyDescent="0.2">
      <c r="A243" s="467"/>
      <c r="B243" s="486" t="s">
        <v>644</v>
      </c>
      <c r="C243" s="487" t="s">
        <v>459</v>
      </c>
      <c r="D243" s="492">
        <v>35</v>
      </c>
      <c r="E243" s="487">
        <v>0.8</v>
      </c>
      <c r="F243" s="492">
        <f t="shared" si="12"/>
        <v>28</v>
      </c>
      <c r="G243" s="492">
        <v>50</v>
      </c>
      <c r="H243" s="452" t="s">
        <v>645</v>
      </c>
      <c r="I243" s="492">
        <v>40</v>
      </c>
      <c r="J243" s="489"/>
      <c r="K243" s="489"/>
      <c r="L243" s="490"/>
      <c r="M243" s="477"/>
      <c r="N243" s="477"/>
      <c r="O243" s="477"/>
      <c r="P243" s="477"/>
      <c r="Q243" s="477"/>
      <c r="R243" s="490"/>
      <c r="S243" s="490"/>
      <c r="U243" s="542"/>
      <c r="V243" s="531"/>
    </row>
    <row r="244" spans="1:22" x14ac:dyDescent="0.2">
      <c r="A244" s="467"/>
      <c r="B244" s="486" t="s">
        <v>646</v>
      </c>
      <c r="C244" s="487" t="s">
        <v>459</v>
      </c>
      <c r="D244" s="492">
        <v>-10</v>
      </c>
      <c r="E244" s="487">
        <v>1</v>
      </c>
      <c r="F244" s="492">
        <f t="shared" si="12"/>
        <v>-10</v>
      </c>
      <c r="G244" s="492">
        <v>50</v>
      </c>
      <c r="H244" s="452" t="s">
        <v>645</v>
      </c>
      <c r="I244" s="492">
        <v>-20</v>
      </c>
      <c r="J244" s="489"/>
      <c r="K244" s="489"/>
      <c r="L244" s="490"/>
      <c r="M244" s="477"/>
      <c r="N244" s="477"/>
      <c r="O244" s="477"/>
      <c r="P244" s="477"/>
      <c r="Q244" s="477"/>
      <c r="R244" s="490"/>
      <c r="S244" s="490"/>
      <c r="U244" s="542"/>
      <c r="V244" s="531"/>
    </row>
    <row r="245" spans="1:22" x14ac:dyDescent="0.2">
      <c r="A245" s="467" t="s">
        <v>204</v>
      </c>
      <c r="B245" s="486" t="s">
        <v>139</v>
      </c>
      <c r="C245" s="487"/>
      <c r="D245" s="492">
        <v>0</v>
      </c>
      <c r="E245" s="487">
        <v>0.9</v>
      </c>
      <c r="F245" s="492">
        <f t="shared" si="12"/>
        <v>0</v>
      </c>
      <c r="G245" s="487">
        <v>40</v>
      </c>
      <c r="I245" s="487"/>
      <c r="J245" s="487"/>
      <c r="K245" s="489"/>
      <c r="L245" s="490"/>
      <c r="M245" s="477"/>
      <c r="N245" s="477"/>
      <c r="O245" s="477"/>
      <c r="P245" s="477"/>
      <c r="Q245" s="477"/>
      <c r="R245" s="490"/>
      <c r="S245" s="490"/>
      <c r="U245" s="542"/>
      <c r="V245" s="531"/>
    </row>
    <row r="246" spans="1:22" x14ac:dyDescent="0.2">
      <c r="A246" s="467"/>
      <c r="B246" s="486" t="s">
        <v>541</v>
      </c>
      <c r="C246" s="487"/>
      <c r="D246" s="492">
        <v>0</v>
      </c>
      <c r="E246" s="487">
        <v>1</v>
      </c>
      <c r="F246" s="487">
        <f t="shared" si="12"/>
        <v>0</v>
      </c>
      <c r="G246" s="487">
        <v>40</v>
      </c>
      <c r="I246" s="492"/>
      <c r="J246" s="489"/>
      <c r="K246" s="489"/>
      <c r="L246" s="490"/>
      <c r="M246" s="477"/>
      <c r="N246" s="477"/>
      <c r="O246" s="477"/>
      <c r="P246" s="477"/>
      <c r="Q246" s="477"/>
      <c r="R246" s="490"/>
      <c r="S246" s="490"/>
      <c r="U246" s="542"/>
      <c r="V246" s="531"/>
    </row>
    <row r="247" spans="1:22" x14ac:dyDescent="0.2">
      <c r="A247" s="467"/>
      <c r="B247" s="486" t="s">
        <v>647</v>
      </c>
      <c r="C247" s="487" t="s">
        <v>459</v>
      </c>
      <c r="D247" s="492">
        <v>25</v>
      </c>
      <c r="E247" s="487">
        <v>1</v>
      </c>
      <c r="F247" s="492">
        <f t="shared" si="12"/>
        <v>25</v>
      </c>
      <c r="G247" s="545">
        <v>30</v>
      </c>
      <c r="H247" s="452" t="s">
        <v>648</v>
      </c>
      <c r="I247" s="492">
        <v>20</v>
      </c>
      <c r="J247" s="489"/>
      <c r="K247" s="489"/>
      <c r="L247" s="490"/>
      <c r="M247" s="477"/>
      <c r="N247" s="477"/>
      <c r="O247" s="477"/>
      <c r="P247" s="477"/>
      <c r="Q247" s="477"/>
      <c r="R247" s="490"/>
      <c r="S247" s="490"/>
      <c r="U247" s="542"/>
      <c r="V247" s="531"/>
    </row>
    <row r="248" spans="1:22" x14ac:dyDescent="0.2">
      <c r="A248" s="467"/>
      <c r="B248" s="486" t="s">
        <v>649</v>
      </c>
      <c r="C248" s="487" t="s">
        <v>459</v>
      </c>
      <c r="D248" s="492">
        <v>25</v>
      </c>
      <c r="E248" s="487">
        <v>0.8</v>
      </c>
      <c r="F248" s="492">
        <f t="shared" si="12"/>
        <v>20</v>
      </c>
      <c r="G248" s="545">
        <v>50</v>
      </c>
      <c r="I248" s="492">
        <v>20</v>
      </c>
      <c r="J248" s="489"/>
      <c r="K248" s="489"/>
      <c r="L248" s="490"/>
      <c r="M248" s="477"/>
      <c r="N248" s="477"/>
      <c r="O248" s="477"/>
      <c r="P248" s="477"/>
      <c r="Q248" s="477"/>
      <c r="R248" s="490"/>
      <c r="S248" s="490"/>
      <c r="U248" s="542"/>
      <c r="V248" s="531"/>
    </row>
    <row r="249" spans="1:22" x14ac:dyDescent="0.2">
      <c r="A249" s="467"/>
      <c r="B249" s="486" t="s">
        <v>650</v>
      </c>
      <c r="C249" s="487" t="s">
        <v>459</v>
      </c>
      <c r="D249" s="492">
        <v>-5</v>
      </c>
      <c r="E249" s="487">
        <v>1</v>
      </c>
      <c r="F249" s="492">
        <f t="shared" si="12"/>
        <v>-5</v>
      </c>
      <c r="G249" s="545">
        <v>50</v>
      </c>
      <c r="I249" s="492">
        <v>-5</v>
      </c>
      <c r="J249" s="489"/>
      <c r="K249" s="489"/>
      <c r="L249" s="490"/>
      <c r="M249" s="477"/>
      <c r="N249" s="477"/>
      <c r="O249" s="477"/>
      <c r="P249" s="477"/>
      <c r="Q249" s="477"/>
      <c r="R249" s="490"/>
      <c r="S249" s="490"/>
      <c r="U249" s="542"/>
      <c r="V249" s="531"/>
    </row>
    <row r="250" spans="1:22" ht="12.75" customHeight="1" x14ac:dyDescent="0.2">
      <c r="A250" s="467" t="s">
        <v>205</v>
      </c>
      <c r="B250" s="486" t="s">
        <v>139</v>
      </c>
      <c r="C250" s="487"/>
      <c r="D250" s="492">
        <v>0</v>
      </c>
      <c r="E250" s="487">
        <v>1</v>
      </c>
      <c r="F250" s="487">
        <f t="shared" si="12"/>
        <v>0</v>
      </c>
      <c r="G250" s="487">
        <v>50</v>
      </c>
      <c r="H250" s="732" t="s">
        <v>651</v>
      </c>
      <c r="I250" s="487"/>
      <c r="J250" s="487"/>
      <c r="K250" s="489"/>
      <c r="L250" s="490"/>
      <c r="M250" s="477"/>
      <c r="N250" s="477"/>
      <c r="O250" s="477"/>
      <c r="P250" s="477"/>
      <c r="Q250" s="477"/>
      <c r="R250" s="490"/>
      <c r="S250" s="490"/>
      <c r="U250" s="542"/>
      <c r="V250" s="531"/>
    </row>
    <row r="251" spans="1:22" x14ac:dyDescent="0.2">
      <c r="A251" s="467"/>
      <c r="B251" s="486" t="s">
        <v>541</v>
      </c>
      <c r="C251" s="487"/>
      <c r="D251" s="492">
        <v>0</v>
      </c>
      <c r="E251" s="487">
        <v>1</v>
      </c>
      <c r="F251" s="487">
        <f t="shared" si="12"/>
        <v>0</v>
      </c>
      <c r="G251" s="487">
        <v>50</v>
      </c>
      <c r="H251" s="732"/>
      <c r="I251" s="492"/>
      <c r="J251" s="489"/>
      <c r="K251" s="489"/>
      <c r="L251" s="490"/>
      <c r="M251" s="477"/>
      <c r="N251" s="477"/>
      <c r="O251" s="477"/>
      <c r="P251" s="477"/>
      <c r="Q251" s="477"/>
      <c r="R251" s="490"/>
      <c r="S251" s="490"/>
      <c r="U251" s="542"/>
      <c r="V251" s="531"/>
    </row>
    <row r="252" spans="1:22" x14ac:dyDescent="0.2">
      <c r="A252" s="467"/>
      <c r="B252" s="486" t="s">
        <v>637</v>
      </c>
      <c r="C252" s="487" t="s">
        <v>459</v>
      </c>
      <c r="D252" s="487">
        <v>30</v>
      </c>
      <c r="E252" s="487">
        <v>1</v>
      </c>
      <c r="F252" s="487">
        <f t="shared" si="12"/>
        <v>30</v>
      </c>
      <c r="G252" s="545">
        <v>50</v>
      </c>
      <c r="H252" s="732"/>
      <c r="I252" s="487">
        <v>10</v>
      </c>
      <c r="J252" s="487"/>
      <c r="K252" s="489"/>
      <c r="L252" s="490"/>
      <c r="M252" s="477"/>
      <c r="N252" s="477"/>
      <c r="O252" s="477"/>
      <c r="P252" s="477"/>
      <c r="Q252" s="477"/>
      <c r="R252" s="490"/>
      <c r="S252" s="490"/>
      <c r="U252" s="542"/>
      <c r="V252" s="531"/>
    </row>
    <row r="253" spans="1:22" x14ac:dyDescent="0.2">
      <c r="A253" s="467"/>
      <c r="B253" s="486" t="s">
        <v>639</v>
      </c>
      <c r="C253" s="487" t="s">
        <v>459</v>
      </c>
      <c r="D253" s="487">
        <v>-10</v>
      </c>
      <c r="E253" s="487">
        <v>1</v>
      </c>
      <c r="F253" s="487">
        <f t="shared" si="12"/>
        <v>-10</v>
      </c>
      <c r="G253" s="545">
        <v>50</v>
      </c>
      <c r="H253" s="732"/>
      <c r="I253" s="487">
        <v>-10</v>
      </c>
      <c r="J253" s="487"/>
      <c r="K253" s="489"/>
      <c r="L253" s="490"/>
      <c r="M253" s="477"/>
      <c r="N253" s="477"/>
      <c r="O253" s="477"/>
      <c r="P253" s="477"/>
      <c r="Q253" s="477"/>
      <c r="R253" s="490"/>
      <c r="S253" s="490"/>
      <c r="U253" s="542"/>
      <c r="V253" s="531"/>
    </row>
    <row r="254" spans="1:22" ht="16.5" customHeight="1" x14ac:dyDescent="0.2">
      <c r="A254" s="526" t="s">
        <v>652</v>
      </c>
      <c r="B254" s="534"/>
      <c r="C254" s="535"/>
      <c r="D254" s="536"/>
      <c r="E254" s="535"/>
      <c r="F254" s="535"/>
      <c r="G254" s="547"/>
      <c r="H254" s="537"/>
      <c r="I254" s="536"/>
      <c r="J254" s="536"/>
      <c r="K254" s="536"/>
      <c r="L254" s="538"/>
      <c r="M254" s="539"/>
      <c r="N254" s="539"/>
      <c r="O254" s="539"/>
      <c r="P254" s="539"/>
      <c r="Q254" s="539"/>
      <c r="R254" s="538"/>
      <c r="S254" s="538"/>
      <c r="T254" s="528"/>
      <c r="U254" s="548"/>
      <c r="V254" s="540"/>
    </row>
    <row r="255" spans="1:22" x14ac:dyDescent="0.2">
      <c r="A255" s="467" t="s">
        <v>208</v>
      </c>
      <c r="B255" s="486" t="s">
        <v>139</v>
      </c>
      <c r="C255" s="487"/>
      <c r="D255" s="492">
        <v>0</v>
      </c>
      <c r="E255" s="487">
        <v>1</v>
      </c>
      <c r="F255" s="487">
        <f t="shared" ref="F255:F297" si="13">D255*E255</f>
        <v>0</v>
      </c>
      <c r="G255" s="487">
        <v>20</v>
      </c>
      <c r="I255" s="487"/>
      <c r="J255" s="487"/>
      <c r="K255" s="489"/>
      <c r="L255" s="490"/>
      <c r="M255" s="477"/>
      <c r="N255" s="477"/>
      <c r="O255" s="477"/>
      <c r="P255" s="477"/>
      <c r="Q255" s="477"/>
      <c r="R255" s="490"/>
      <c r="S255" s="490"/>
      <c r="U255" s="542"/>
      <c r="V255" s="531"/>
    </row>
    <row r="256" spans="1:22" x14ac:dyDescent="0.2">
      <c r="A256" s="467"/>
      <c r="B256" s="486" t="s">
        <v>541</v>
      </c>
      <c r="C256" s="487"/>
      <c r="D256" s="492">
        <v>0</v>
      </c>
      <c r="E256" s="487">
        <v>1</v>
      </c>
      <c r="F256" s="487">
        <f t="shared" si="13"/>
        <v>0</v>
      </c>
      <c r="G256" s="487">
        <f>G255</f>
        <v>20</v>
      </c>
      <c r="I256" s="492"/>
      <c r="J256" s="489"/>
      <c r="K256" s="489"/>
      <c r="L256" s="490"/>
      <c r="M256" s="477"/>
      <c r="N256" s="477"/>
      <c r="O256" s="477"/>
      <c r="P256" s="477"/>
      <c r="Q256" s="477"/>
      <c r="R256" s="490"/>
      <c r="S256" s="490"/>
      <c r="U256" s="542"/>
      <c r="V256" s="531"/>
    </row>
    <row r="257" spans="1:22" x14ac:dyDescent="0.2">
      <c r="A257" s="467"/>
      <c r="B257" s="486" t="s">
        <v>626</v>
      </c>
      <c r="C257" s="487" t="s">
        <v>459</v>
      </c>
      <c r="D257" s="492">
        <v>5</v>
      </c>
      <c r="E257" s="487">
        <v>1</v>
      </c>
      <c r="F257" s="487">
        <f t="shared" si="13"/>
        <v>5</v>
      </c>
      <c r="G257" s="487">
        <v>10</v>
      </c>
      <c r="I257" s="492">
        <v>1</v>
      </c>
      <c r="J257" s="489"/>
      <c r="K257" s="489"/>
      <c r="L257" s="490"/>
      <c r="M257" s="477"/>
      <c r="N257" s="477"/>
      <c r="O257" s="477"/>
      <c r="P257" s="477"/>
      <c r="Q257" s="477"/>
      <c r="R257" s="490"/>
      <c r="S257" s="490"/>
      <c r="U257" s="542"/>
      <c r="V257" s="531"/>
    </row>
    <row r="258" spans="1:22" x14ac:dyDescent="0.2">
      <c r="A258" s="467"/>
      <c r="B258" s="486" t="s">
        <v>653</v>
      </c>
      <c r="C258" s="487" t="s">
        <v>459</v>
      </c>
      <c r="D258" s="492">
        <v>25</v>
      </c>
      <c r="E258" s="487">
        <v>1</v>
      </c>
      <c r="F258" s="487">
        <f t="shared" si="13"/>
        <v>25</v>
      </c>
      <c r="G258" s="487">
        <v>30</v>
      </c>
      <c r="I258" s="492">
        <v>25</v>
      </c>
      <c r="J258" s="489"/>
      <c r="K258" s="489"/>
      <c r="L258" s="490"/>
      <c r="M258" s="477"/>
      <c r="N258" s="477"/>
      <c r="O258" s="477"/>
      <c r="P258" s="477"/>
      <c r="Q258" s="477"/>
      <c r="R258" s="490"/>
      <c r="S258" s="490"/>
      <c r="U258" s="542"/>
      <c r="V258" s="531"/>
    </row>
    <row r="259" spans="1:22" x14ac:dyDescent="0.2">
      <c r="A259" s="467"/>
      <c r="B259" s="486" t="s">
        <v>654</v>
      </c>
      <c r="C259" s="487" t="s">
        <v>459</v>
      </c>
      <c r="D259" s="492">
        <v>10</v>
      </c>
      <c r="E259" s="487">
        <v>1</v>
      </c>
      <c r="F259" s="487">
        <f t="shared" si="13"/>
        <v>10</v>
      </c>
      <c r="G259" s="487">
        <v>30</v>
      </c>
      <c r="H259" s="452" t="s">
        <v>655</v>
      </c>
      <c r="I259" s="492"/>
      <c r="J259" s="489"/>
      <c r="K259" s="489"/>
      <c r="L259" s="490"/>
      <c r="M259" s="477"/>
      <c r="N259" s="477"/>
      <c r="O259" s="477"/>
      <c r="P259" s="477"/>
      <c r="Q259" s="477"/>
      <c r="R259" s="490"/>
      <c r="S259" s="490"/>
      <c r="U259" s="542"/>
      <c r="V259" s="531"/>
    </row>
    <row r="260" spans="1:22" x14ac:dyDescent="0.2">
      <c r="A260" s="467" t="s">
        <v>210</v>
      </c>
      <c r="B260" s="486" t="s">
        <v>139</v>
      </c>
      <c r="C260" s="487"/>
      <c r="D260" s="492">
        <v>0</v>
      </c>
      <c r="E260" s="487">
        <v>1</v>
      </c>
      <c r="F260" s="487">
        <f t="shared" si="13"/>
        <v>0</v>
      </c>
      <c r="G260" s="487">
        <v>30</v>
      </c>
      <c r="I260" s="487"/>
      <c r="J260" s="487"/>
      <c r="K260" s="489"/>
      <c r="L260" s="490"/>
      <c r="M260" s="477"/>
      <c r="N260" s="477"/>
      <c r="O260" s="477"/>
      <c r="P260" s="477"/>
      <c r="Q260" s="477"/>
      <c r="R260" s="490"/>
      <c r="S260" s="490"/>
      <c r="U260" s="542"/>
      <c r="V260" s="531"/>
    </row>
    <row r="261" spans="1:22" x14ac:dyDescent="0.2">
      <c r="A261" s="467"/>
      <c r="B261" s="486" t="s">
        <v>541</v>
      </c>
      <c r="C261" s="487"/>
      <c r="D261" s="492">
        <v>0</v>
      </c>
      <c r="E261" s="487">
        <v>1</v>
      </c>
      <c r="F261" s="487">
        <f t="shared" si="13"/>
        <v>0</v>
      </c>
      <c r="G261" s="487">
        <f>G260</f>
        <v>30</v>
      </c>
      <c r="I261" s="492"/>
      <c r="J261" s="489"/>
      <c r="K261" s="489"/>
      <c r="L261" s="490"/>
      <c r="M261" s="477"/>
      <c r="N261" s="477"/>
      <c r="O261" s="477"/>
      <c r="P261" s="477"/>
      <c r="Q261" s="477"/>
      <c r="R261" s="490"/>
      <c r="S261" s="490"/>
      <c r="U261" s="542"/>
      <c r="V261" s="531"/>
    </row>
    <row r="262" spans="1:22" x14ac:dyDescent="0.2">
      <c r="A262" s="467"/>
      <c r="B262" s="486" t="s">
        <v>564</v>
      </c>
      <c r="C262" s="487" t="s">
        <v>656</v>
      </c>
      <c r="D262" s="487">
        <v>40</v>
      </c>
      <c r="E262" s="487">
        <v>1</v>
      </c>
      <c r="F262" s="487">
        <f t="shared" si="13"/>
        <v>40</v>
      </c>
      <c r="G262" s="487">
        <v>30</v>
      </c>
      <c r="H262" s="452" t="s">
        <v>657</v>
      </c>
      <c r="I262" s="492"/>
      <c r="J262" s="487"/>
      <c r="K262" s="489"/>
      <c r="L262" s="490"/>
      <c r="M262" s="477"/>
      <c r="N262" s="477"/>
      <c r="O262" s="477"/>
      <c r="P262" s="477"/>
      <c r="Q262" s="477"/>
      <c r="R262" s="490"/>
      <c r="S262" s="490"/>
      <c r="U262" s="542"/>
      <c r="V262" s="531"/>
    </row>
    <row r="263" spans="1:22" x14ac:dyDescent="0.2">
      <c r="A263" s="467"/>
      <c r="B263" s="486" t="s">
        <v>563</v>
      </c>
      <c r="C263" s="487" t="s">
        <v>656</v>
      </c>
      <c r="D263" s="487">
        <v>120</v>
      </c>
      <c r="E263" s="487">
        <v>1</v>
      </c>
      <c r="F263" s="487">
        <f t="shared" si="13"/>
        <v>120</v>
      </c>
      <c r="G263" s="487">
        <v>30</v>
      </c>
      <c r="H263" s="452" t="s">
        <v>658</v>
      </c>
      <c r="I263" s="492"/>
      <c r="J263" s="487"/>
      <c r="K263" s="489"/>
      <c r="L263" s="490"/>
      <c r="M263" s="477"/>
      <c r="N263" s="477"/>
      <c r="O263" s="477"/>
      <c r="P263" s="477"/>
      <c r="Q263" s="477"/>
      <c r="R263" s="490"/>
      <c r="S263" s="490"/>
      <c r="U263" s="542"/>
      <c r="V263" s="531"/>
    </row>
    <row r="264" spans="1:22" x14ac:dyDescent="0.2">
      <c r="A264" s="467"/>
      <c r="B264" s="486" t="s">
        <v>659</v>
      </c>
      <c r="C264" s="487" t="s">
        <v>656</v>
      </c>
      <c r="D264" s="487">
        <v>240</v>
      </c>
      <c r="E264" s="487">
        <v>1</v>
      </c>
      <c r="F264" s="487">
        <f t="shared" si="13"/>
        <v>240</v>
      </c>
      <c r="G264" s="487">
        <v>30</v>
      </c>
      <c r="I264" s="492"/>
      <c r="J264" s="487"/>
      <c r="K264" s="489"/>
      <c r="L264" s="490"/>
      <c r="M264" s="477"/>
      <c r="N264" s="477"/>
      <c r="O264" s="477"/>
      <c r="P264" s="477"/>
      <c r="Q264" s="477"/>
      <c r="R264" s="490"/>
      <c r="S264" s="490"/>
      <c r="U264" s="542"/>
      <c r="V264" s="531"/>
    </row>
    <row r="265" spans="1:22" x14ac:dyDescent="0.2">
      <c r="A265" s="467"/>
      <c r="B265" s="486" t="s">
        <v>660</v>
      </c>
      <c r="C265" s="487" t="s">
        <v>656</v>
      </c>
      <c r="D265" s="487">
        <v>20</v>
      </c>
      <c r="E265" s="487">
        <v>1</v>
      </c>
      <c r="F265" s="487">
        <f t="shared" si="13"/>
        <v>20</v>
      </c>
      <c r="G265" s="487">
        <v>30</v>
      </c>
      <c r="H265" s="452" t="s">
        <v>661</v>
      </c>
      <c r="I265" s="492"/>
      <c r="J265" s="487"/>
      <c r="K265" s="489"/>
      <c r="L265" s="490"/>
      <c r="M265" s="477"/>
      <c r="N265" s="477"/>
      <c r="O265" s="477"/>
      <c r="P265" s="477"/>
      <c r="Q265" s="477"/>
      <c r="R265" s="490"/>
      <c r="S265" s="490"/>
      <c r="U265" s="542"/>
      <c r="V265" s="531"/>
    </row>
    <row r="266" spans="1:22" x14ac:dyDescent="0.2">
      <c r="A266" s="467" t="s">
        <v>212</v>
      </c>
      <c r="B266" s="486" t="s">
        <v>139</v>
      </c>
      <c r="C266" s="487"/>
      <c r="D266" s="492">
        <v>0</v>
      </c>
      <c r="E266" s="487">
        <v>1</v>
      </c>
      <c r="F266" s="487">
        <f t="shared" si="13"/>
        <v>0</v>
      </c>
      <c r="G266" s="487">
        <v>50</v>
      </c>
      <c r="I266" s="487"/>
      <c r="J266" s="487"/>
      <c r="K266" s="489"/>
      <c r="L266" s="490"/>
      <c r="M266" s="477"/>
      <c r="N266" s="477"/>
      <c r="O266" s="477"/>
      <c r="P266" s="477"/>
      <c r="Q266" s="477"/>
      <c r="R266" s="490"/>
      <c r="S266" s="490"/>
      <c r="U266" s="542"/>
      <c r="V266" s="531"/>
    </row>
    <row r="267" spans="1:22" x14ac:dyDescent="0.2">
      <c r="A267" s="467"/>
      <c r="B267" s="486" t="s">
        <v>541</v>
      </c>
      <c r="C267" s="487"/>
      <c r="D267" s="492">
        <v>0</v>
      </c>
      <c r="E267" s="487">
        <v>1</v>
      </c>
      <c r="F267" s="487">
        <f t="shared" si="13"/>
        <v>0</v>
      </c>
      <c r="G267" s="487">
        <f>G266</f>
        <v>50</v>
      </c>
      <c r="I267" s="492"/>
      <c r="J267" s="489"/>
      <c r="K267" s="489"/>
      <c r="L267" s="490"/>
      <c r="M267" s="477"/>
      <c r="N267" s="477"/>
      <c r="O267" s="477"/>
      <c r="P267" s="477"/>
      <c r="Q267" s="477"/>
      <c r="R267" s="490"/>
      <c r="S267" s="490"/>
      <c r="U267" s="542"/>
      <c r="V267" s="531"/>
    </row>
    <row r="268" spans="1:22" x14ac:dyDescent="0.2">
      <c r="A268" s="467"/>
      <c r="B268" s="486" t="s">
        <v>662</v>
      </c>
      <c r="C268" s="487" t="s">
        <v>459</v>
      </c>
      <c r="D268" s="487">
        <v>20</v>
      </c>
      <c r="E268" s="487">
        <v>1</v>
      </c>
      <c r="F268" s="487">
        <f t="shared" si="13"/>
        <v>20</v>
      </c>
      <c r="G268" s="487">
        <v>50</v>
      </c>
      <c r="H268" s="494"/>
      <c r="I268" s="492"/>
      <c r="J268" s="487"/>
      <c r="K268" s="489"/>
      <c r="L268" s="490"/>
      <c r="M268" s="477"/>
      <c r="N268" s="477"/>
      <c r="O268" s="477"/>
      <c r="P268" s="477"/>
      <c r="Q268" s="477"/>
      <c r="R268" s="490"/>
      <c r="S268" s="490"/>
      <c r="U268" s="542"/>
      <c r="V268" s="531"/>
    </row>
    <row r="269" spans="1:22" x14ac:dyDescent="0.2">
      <c r="A269" s="467"/>
      <c r="B269" s="486" t="s">
        <v>663</v>
      </c>
      <c r="C269" s="487" t="s">
        <v>459</v>
      </c>
      <c r="D269" s="487">
        <v>5</v>
      </c>
      <c r="E269" s="487">
        <v>1</v>
      </c>
      <c r="F269" s="487">
        <f t="shared" si="13"/>
        <v>5</v>
      </c>
      <c r="G269" s="487">
        <v>50</v>
      </c>
      <c r="I269" s="492"/>
      <c r="J269" s="487"/>
      <c r="K269" s="489"/>
      <c r="L269" s="490"/>
      <c r="M269" s="477"/>
      <c r="N269" s="477"/>
      <c r="O269" s="477"/>
      <c r="P269" s="477"/>
      <c r="Q269" s="477"/>
      <c r="R269" s="490"/>
      <c r="S269" s="490"/>
      <c r="U269" s="542"/>
      <c r="V269" s="531"/>
    </row>
    <row r="270" spans="1:22" x14ac:dyDescent="0.2">
      <c r="A270" s="467"/>
      <c r="B270" s="486" t="s">
        <v>664</v>
      </c>
      <c r="C270" s="487" t="s">
        <v>459</v>
      </c>
      <c r="D270" s="487">
        <v>-5</v>
      </c>
      <c r="E270" s="487">
        <v>1</v>
      </c>
      <c r="F270" s="487">
        <f t="shared" si="13"/>
        <v>-5</v>
      </c>
      <c r="G270" s="487">
        <v>50</v>
      </c>
      <c r="I270" s="487"/>
      <c r="J270" s="487"/>
      <c r="K270" s="489"/>
      <c r="L270" s="490"/>
      <c r="M270" s="477"/>
      <c r="N270" s="477"/>
      <c r="O270" s="477"/>
      <c r="P270" s="477"/>
      <c r="Q270" s="477"/>
      <c r="R270" s="490"/>
      <c r="S270" s="490"/>
      <c r="U270" s="542"/>
      <c r="V270" s="531"/>
    </row>
    <row r="271" spans="1:22" x14ac:dyDescent="0.2">
      <c r="A271" s="467"/>
      <c r="B271" s="486" t="s">
        <v>665</v>
      </c>
      <c r="C271" s="487" t="s">
        <v>459</v>
      </c>
      <c r="D271" s="487">
        <v>100</v>
      </c>
      <c r="E271" s="487">
        <v>1</v>
      </c>
      <c r="F271" s="487">
        <f t="shared" si="13"/>
        <v>100</v>
      </c>
      <c r="G271" s="487">
        <v>50</v>
      </c>
      <c r="I271" s="492"/>
      <c r="J271" s="487"/>
      <c r="K271" s="489"/>
      <c r="L271" s="490"/>
      <c r="M271" s="477"/>
      <c r="N271" s="477"/>
      <c r="O271" s="477"/>
      <c r="P271" s="477"/>
      <c r="Q271" s="477"/>
      <c r="R271" s="490"/>
      <c r="S271" s="490"/>
      <c r="U271" s="542"/>
      <c r="V271" s="531"/>
    </row>
    <row r="272" spans="1:22" x14ac:dyDescent="0.2">
      <c r="A272" s="467"/>
      <c r="B272" s="486" t="s">
        <v>610</v>
      </c>
      <c r="C272" s="487" t="s">
        <v>459</v>
      </c>
      <c r="D272" s="487">
        <v>30</v>
      </c>
      <c r="E272" s="487">
        <v>1</v>
      </c>
      <c r="F272" s="487">
        <f t="shared" si="13"/>
        <v>30</v>
      </c>
      <c r="G272" s="487">
        <v>50</v>
      </c>
      <c r="I272" s="492"/>
      <c r="J272" s="487"/>
      <c r="K272" s="489"/>
      <c r="L272" s="490"/>
      <c r="M272" s="477"/>
      <c r="N272" s="477"/>
      <c r="O272" s="477"/>
      <c r="P272" s="477"/>
      <c r="Q272" s="477"/>
      <c r="R272" s="490"/>
      <c r="S272" s="490"/>
      <c r="U272" s="542"/>
      <c r="V272" s="531"/>
    </row>
    <row r="273" spans="1:22" x14ac:dyDescent="0.2">
      <c r="A273" s="467"/>
      <c r="B273" s="486" t="s">
        <v>666</v>
      </c>
      <c r="C273" s="487" t="s">
        <v>459</v>
      </c>
      <c r="D273" s="487">
        <v>5</v>
      </c>
      <c r="E273" s="487">
        <v>1</v>
      </c>
      <c r="F273" s="487">
        <f t="shared" si="13"/>
        <v>5</v>
      </c>
      <c r="G273" s="487">
        <v>50</v>
      </c>
      <c r="I273" s="492"/>
      <c r="J273" s="487"/>
      <c r="K273" s="489"/>
      <c r="L273" s="490"/>
      <c r="M273" s="477"/>
      <c r="N273" s="477"/>
      <c r="O273" s="477"/>
      <c r="P273" s="477"/>
      <c r="Q273" s="477"/>
      <c r="R273" s="490"/>
      <c r="S273" s="490"/>
      <c r="U273" s="542"/>
      <c r="V273" s="531"/>
    </row>
    <row r="274" spans="1:22" x14ac:dyDescent="0.2">
      <c r="A274" s="467"/>
      <c r="B274" s="486" t="s">
        <v>667</v>
      </c>
      <c r="C274" s="487" t="s">
        <v>459</v>
      </c>
      <c r="D274" s="487">
        <v>2</v>
      </c>
      <c r="E274" s="487">
        <v>1</v>
      </c>
      <c r="F274" s="487">
        <f t="shared" si="13"/>
        <v>2</v>
      </c>
      <c r="G274" s="487">
        <v>50</v>
      </c>
      <c r="H274" s="452" t="s">
        <v>668</v>
      </c>
      <c r="I274" s="492"/>
      <c r="J274" s="489"/>
      <c r="K274" s="489"/>
      <c r="L274" s="490"/>
      <c r="M274" s="477"/>
      <c r="N274" s="477"/>
      <c r="O274" s="477"/>
      <c r="P274" s="477"/>
      <c r="Q274" s="477"/>
      <c r="R274" s="490"/>
      <c r="S274" s="490"/>
      <c r="U274" s="542"/>
      <c r="V274" s="531"/>
    </row>
    <row r="275" spans="1:22" x14ac:dyDescent="0.2">
      <c r="A275" s="467" t="s">
        <v>214</v>
      </c>
      <c r="B275" s="486" t="s">
        <v>139</v>
      </c>
      <c r="C275" s="487"/>
      <c r="D275" s="487">
        <v>100</v>
      </c>
      <c r="E275" s="487">
        <v>1</v>
      </c>
      <c r="F275" s="487">
        <f t="shared" si="13"/>
        <v>100</v>
      </c>
      <c r="G275" s="487">
        <v>30</v>
      </c>
      <c r="I275" s="487"/>
      <c r="J275" s="487"/>
      <c r="K275" s="489"/>
      <c r="L275" s="490"/>
      <c r="M275" s="477"/>
      <c r="N275" s="477"/>
      <c r="O275" s="477"/>
      <c r="P275" s="477"/>
      <c r="Q275" s="477"/>
      <c r="R275" s="490"/>
      <c r="S275" s="490"/>
      <c r="U275" s="542"/>
      <c r="V275" s="531"/>
    </row>
    <row r="276" spans="1:22" x14ac:dyDescent="0.2">
      <c r="A276" s="467"/>
      <c r="B276" s="486" t="s">
        <v>541</v>
      </c>
      <c r="C276" s="487"/>
      <c r="D276" s="492">
        <v>0</v>
      </c>
      <c r="E276" s="487">
        <v>1</v>
      </c>
      <c r="F276" s="487">
        <f t="shared" si="13"/>
        <v>0</v>
      </c>
      <c r="G276" s="487">
        <f>G275</f>
        <v>30</v>
      </c>
      <c r="I276" s="492"/>
      <c r="J276" s="489"/>
      <c r="K276" s="489"/>
      <c r="L276" s="490"/>
      <c r="M276" s="477"/>
      <c r="N276" s="477"/>
      <c r="O276" s="477"/>
      <c r="P276" s="477"/>
      <c r="Q276" s="477"/>
      <c r="R276" s="490"/>
      <c r="S276" s="490"/>
      <c r="U276" s="542"/>
      <c r="V276" s="531"/>
    </row>
    <row r="277" spans="1:22" x14ac:dyDescent="0.2">
      <c r="A277" s="467"/>
      <c r="B277" s="486" t="s">
        <v>563</v>
      </c>
      <c r="C277" s="487" t="s">
        <v>554</v>
      </c>
      <c r="D277" s="487">
        <v>150</v>
      </c>
      <c r="E277" s="487">
        <v>1</v>
      </c>
      <c r="F277" s="487">
        <f t="shared" si="13"/>
        <v>150</v>
      </c>
      <c r="G277" s="487">
        <v>30</v>
      </c>
      <c r="I277" s="487"/>
      <c r="J277" s="487"/>
      <c r="K277" s="489"/>
      <c r="L277" s="490"/>
      <c r="M277" s="477"/>
      <c r="N277" s="477"/>
      <c r="O277" s="477"/>
      <c r="P277" s="477"/>
      <c r="Q277" s="477"/>
      <c r="R277" s="490"/>
      <c r="S277" s="490"/>
      <c r="U277" s="542"/>
      <c r="V277" s="531"/>
    </row>
    <row r="278" spans="1:22" x14ac:dyDescent="0.2">
      <c r="A278" s="467"/>
      <c r="B278" s="486" t="s">
        <v>669</v>
      </c>
      <c r="C278" s="487" t="s">
        <v>554</v>
      </c>
      <c r="D278" s="487">
        <v>60</v>
      </c>
      <c r="E278" s="487">
        <v>1</v>
      </c>
      <c r="F278" s="487">
        <f t="shared" si="13"/>
        <v>60</v>
      </c>
      <c r="G278" s="487">
        <v>30</v>
      </c>
      <c r="I278" s="487"/>
      <c r="J278" s="487"/>
      <c r="K278" s="489"/>
      <c r="L278" s="490"/>
      <c r="M278" s="477"/>
      <c r="N278" s="477"/>
      <c r="O278" s="477"/>
      <c r="P278" s="477"/>
      <c r="Q278" s="477"/>
      <c r="R278" s="490"/>
      <c r="S278" s="490"/>
      <c r="U278" s="542"/>
      <c r="V278" s="531"/>
    </row>
    <row r="279" spans="1:22" x14ac:dyDescent="0.2">
      <c r="A279" s="467"/>
      <c r="B279" s="486" t="s">
        <v>670</v>
      </c>
      <c r="C279" s="487" t="s">
        <v>554</v>
      </c>
      <c r="D279" s="487">
        <v>75</v>
      </c>
      <c r="E279" s="487">
        <v>1</v>
      </c>
      <c r="F279" s="487">
        <f t="shared" si="13"/>
        <v>75</v>
      </c>
      <c r="G279" s="487">
        <v>30</v>
      </c>
      <c r="I279" s="487"/>
      <c r="J279" s="487"/>
      <c r="K279" s="489"/>
      <c r="L279" s="490"/>
      <c r="M279" s="477"/>
      <c r="N279" s="477"/>
      <c r="O279" s="477"/>
      <c r="P279" s="477"/>
      <c r="Q279" s="477"/>
      <c r="R279" s="490"/>
      <c r="S279" s="490"/>
      <c r="U279" s="542"/>
      <c r="V279" s="531"/>
    </row>
    <row r="280" spans="1:22" x14ac:dyDescent="0.2">
      <c r="A280" s="467"/>
      <c r="B280" s="486" t="s">
        <v>603</v>
      </c>
      <c r="C280" s="487" t="s">
        <v>554</v>
      </c>
      <c r="D280" s="487">
        <v>30</v>
      </c>
      <c r="E280" s="487">
        <v>1</v>
      </c>
      <c r="F280" s="487">
        <f t="shared" si="13"/>
        <v>30</v>
      </c>
      <c r="G280" s="487">
        <v>30</v>
      </c>
      <c r="I280" s="487"/>
      <c r="J280" s="487"/>
      <c r="K280" s="489"/>
      <c r="L280" s="490"/>
      <c r="M280" s="477"/>
      <c r="N280" s="477"/>
      <c r="O280" s="477"/>
      <c r="P280" s="477"/>
      <c r="Q280" s="477"/>
      <c r="R280" s="490"/>
      <c r="S280" s="490"/>
      <c r="U280" s="542"/>
      <c r="V280" s="531"/>
    </row>
    <row r="281" spans="1:22" x14ac:dyDescent="0.2">
      <c r="A281" s="467"/>
      <c r="B281" s="486" t="s">
        <v>671</v>
      </c>
      <c r="C281" s="487" t="s">
        <v>554</v>
      </c>
      <c r="D281" s="492">
        <v>10</v>
      </c>
      <c r="E281" s="487">
        <v>1</v>
      </c>
      <c r="F281" s="487">
        <f t="shared" si="13"/>
        <v>10</v>
      </c>
      <c r="G281" s="487">
        <v>30</v>
      </c>
      <c r="H281" s="452" t="s">
        <v>672</v>
      </c>
      <c r="I281" s="492"/>
      <c r="J281" s="489"/>
      <c r="K281" s="489"/>
      <c r="L281" s="490"/>
      <c r="M281" s="477"/>
      <c r="N281" s="477"/>
      <c r="O281" s="477"/>
      <c r="P281" s="477"/>
      <c r="Q281" s="477"/>
      <c r="R281" s="490"/>
      <c r="S281" s="490"/>
      <c r="U281" s="542"/>
      <c r="V281" s="531"/>
    </row>
    <row r="282" spans="1:22" x14ac:dyDescent="0.2">
      <c r="A282" s="467" t="s">
        <v>673</v>
      </c>
      <c r="B282" s="486" t="s">
        <v>139</v>
      </c>
      <c r="C282" s="487"/>
      <c r="D282" s="492">
        <v>0</v>
      </c>
      <c r="E282" s="487">
        <v>1</v>
      </c>
      <c r="F282" s="487">
        <f t="shared" si="13"/>
        <v>0</v>
      </c>
      <c r="G282" s="487">
        <v>30</v>
      </c>
      <c r="I282" s="487"/>
      <c r="J282" s="487"/>
      <c r="K282" s="489"/>
      <c r="L282" s="490"/>
      <c r="M282" s="477"/>
      <c r="N282" s="477"/>
      <c r="O282" s="477"/>
      <c r="P282" s="477"/>
      <c r="Q282" s="477"/>
      <c r="R282" s="490"/>
      <c r="S282" s="490"/>
      <c r="U282" s="542"/>
      <c r="V282" s="531"/>
    </row>
    <row r="283" spans="1:22" x14ac:dyDescent="0.2">
      <c r="A283" s="467"/>
      <c r="B283" s="486" t="s">
        <v>541</v>
      </c>
      <c r="C283" s="487"/>
      <c r="D283" s="492">
        <v>0</v>
      </c>
      <c r="E283" s="487">
        <v>1</v>
      </c>
      <c r="F283" s="487">
        <f t="shared" si="13"/>
        <v>0</v>
      </c>
      <c r="G283" s="487">
        <f>G282</f>
        <v>30</v>
      </c>
      <c r="I283" s="492"/>
      <c r="J283" s="489"/>
      <c r="K283" s="489"/>
      <c r="L283" s="490"/>
      <c r="M283" s="477"/>
      <c r="N283" s="477"/>
      <c r="O283" s="477"/>
      <c r="P283" s="477"/>
      <c r="Q283" s="477"/>
      <c r="R283" s="490"/>
      <c r="S283" s="490"/>
      <c r="U283" s="542"/>
      <c r="V283" s="531"/>
    </row>
    <row r="284" spans="1:22" x14ac:dyDescent="0.2">
      <c r="A284" s="467"/>
      <c r="B284" s="486" t="s">
        <v>674</v>
      </c>
      <c r="C284" s="487" t="s">
        <v>459</v>
      </c>
      <c r="D284" s="487">
        <v>5</v>
      </c>
      <c r="E284" s="487">
        <v>1</v>
      </c>
      <c r="F284" s="487">
        <f t="shared" si="13"/>
        <v>5</v>
      </c>
      <c r="G284" s="487">
        <v>10</v>
      </c>
      <c r="I284" s="487"/>
      <c r="J284" s="487"/>
      <c r="K284" s="489"/>
      <c r="L284" s="490"/>
      <c r="M284" s="477"/>
      <c r="N284" s="477"/>
      <c r="O284" s="477"/>
      <c r="P284" s="477"/>
      <c r="Q284" s="477"/>
      <c r="R284" s="490"/>
      <c r="S284" s="490"/>
      <c r="U284" s="542"/>
      <c r="V284" s="531"/>
    </row>
    <row r="285" spans="1:22" x14ac:dyDescent="0.2">
      <c r="A285" s="467"/>
      <c r="B285" s="486" t="s">
        <v>675</v>
      </c>
      <c r="C285" s="487" t="s">
        <v>459</v>
      </c>
      <c r="D285" s="487">
        <v>10</v>
      </c>
      <c r="E285" s="487">
        <v>1</v>
      </c>
      <c r="F285" s="487">
        <f t="shared" si="13"/>
        <v>10</v>
      </c>
      <c r="G285" s="487">
        <v>20</v>
      </c>
      <c r="I285" s="487"/>
      <c r="J285" s="487"/>
      <c r="K285" s="489"/>
      <c r="L285" s="490"/>
      <c r="M285" s="477"/>
      <c r="N285" s="477"/>
      <c r="O285" s="477"/>
      <c r="P285" s="477"/>
      <c r="Q285" s="477"/>
      <c r="R285" s="490"/>
      <c r="S285" s="490"/>
      <c r="U285" s="542"/>
      <c r="V285" s="531"/>
    </row>
    <row r="286" spans="1:22" x14ac:dyDescent="0.2">
      <c r="A286" s="467"/>
      <c r="B286" s="486" t="s">
        <v>676</v>
      </c>
      <c r="C286" s="487" t="s">
        <v>459</v>
      </c>
      <c r="D286" s="487">
        <v>50</v>
      </c>
      <c r="E286" s="487">
        <v>1</v>
      </c>
      <c r="F286" s="487">
        <f t="shared" si="13"/>
        <v>50</v>
      </c>
      <c r="G286" s="487">
        <v>20</v>
      </c>
      <c r="I286" s="487"/>
      <c r="J286" s="487"/>
      <c r="K286" s="489"/>
      <c r="L286" s="490"/>
      <c r="M286" s="477"/>
      <c r="N286" s="477"/>
      <c r="O286" s="477"/>
      <c r="P286" s="477"/>
      <c r="Q286" s="477"/>
      <c r="R286" s="490"/>
      <c r="S286" s="490"/>
      <c r="U286" s="542"/>
      <c r="V286" s="531"/>
    </row>
    <row r="287" spans="1:22" x14ac:dyDescent="0.2">
      <c r="A287" s="467"/>
      <c r="B287" s="486" t="s">
        <v>677</v>
      </c>
      <c r="C287" s="487" t="s">
        <v>459</v>
      </c>
      <c r="D287" s="487">
        <v>35</v>
      </c>
      <c r="E287" s="487">
        <v>1</v>
      </c>
      <c r="F287" s="487">
        <f t="shared" si="13"/>
        <v>35</v>
      </c>
      <c r="G287" s="487">
        <v>20</v>
      </c>
      <c r="I287" s="487"/>
      <c r="J287" s="487"/>
      <c r="K287" s="489"/>
      <c r="L287" s="490"/>
      <c r="M287" s="477"/>
      <c r="N287" s="477"/>
      <c r="O287" s="477"/>
      <c r="P287" s="477"/>
      <c r="Q287" s="477"/>
      <c r="R287" s="490"/>
      <c r="S287" s="490"/>
      <c r="U287" s="542"/>
      <c r="V287" s="531"/>
    </row>
    <row r="288" spans="1:22" x14ac:dyDescent="0.2">
      <c r="A288" s="467"/>
      <c r="B288" s="486" t="s">
        <v>678</v>
      </c>
      <c r="C288" s="487" t="s">
        <v>459</v>
      </c>
      <c r="D288" s="487">
        <v>30</v>
      </c>
      <c r="E288" s="487">
        <v>1</v>
      </c>
      <c r="F288" s="487">
        <f t="shared" si="13"/>
        <v>30</v>
      </c>
      <c r="G288" s="487">
        <v>50</v>
      </c>
      <c r="I288" s="487"/>
      <c r="J288" s="487"/>
      <c r="K288" s="489"/>
      <c r="L288" s="490"/>
      <c r="M288" s="477"/>
      <c r="N288" s="477"/>
      <c r="O288" s="477"/>
      <c r="P288" s="477"/>
      <c r="Q288" s="477"/>
      <c r="R288" s="490"/>
      <c r="S288" s="490"/>
      <c r="U288" s="542"/>
      <c r="V288" s="531"/>
    </row>
    <row r="289" spans="1:22" x14ac:dyDescent="0.2">
      <c r="A289" s="467"/>
      <c r="B289" s="486" t="s">
        <v>679</v>
      </c>
      <c r="C289" s="487" t="s">
        <v>459</v>
      </c>
      <c r="D289" s="487">
        <v>10</v>
      </c>
      <c r="E289" s="487">
        <v>1</v>
      </c>
      <c r="F289" s="487">
        <f t="shared" si="13"/>
        <v>10</v>
      </c>
      <c r="G289" s="487">
        <v>20</v>
      </c>
      <c r="H289" s="452" t="s">
        <v>680</v>
      </c>
      <c r="I289" s="487"/>
      <c r="J289" s="487"/>
      <c r="K289" s="489"/>
      <c r="L289" s="490"/>
      <c r="M289" s="477"/>
      <c r="N289" s="477"/>
      <c r="O289" s="477"/>
      <c r="P289" s="477"/>
      <c r="Q289" s="477"/>
      <c r="R289" s="490"/>
      <c r="S289" s="490"/>
      <c r="U289" s="542"/>
      <c r="V289" s="531"/>
    </row>
    <row r="290" spans="1:22" x14ac:dyDescent="0.2">
      <c r="A290" s="467"/>
      <c r="B290" s="486" t="s">
        <v>681</v>
      </c>
      <c r="C290" s="487" t="s">
        <v>459</v>
      </c>
      <c r="D290" s="492">
        <v>50</v>
      </c>
      <c r="E290" s="487">
        <v>1</v>
      </c>
      <c r="F290" s="487">
        <f t="shared" si="13"/>
        <v>50</v>
      </c>
      <c r="G290" s="487">
        <v>50</v>
      </c>
      <c r="I290" s="492">
        <v>40</v>
      </c>
      <c r="J290" s="489"/>
      <c r="K290" s="489"/>
      <c r="L290" s="490"/>
      <c r="M290" s="477"/>
      <c r="N290" s="477"/>
      <c r="O290" s="477"/>
      <c r="P290" s="477"/>
      <c r="Q290" s="477"/>
      <c r="R290" s="490"/>
      <c r="S290" s="490"/>
      <c r="U290" s="542"/>
      <c r="V290" s="531"/>
    </row>
    <row r="291" spans="1:22" x14ac:dyDescent="0.2">
      <c r="A291" s="467"/>
      <c r="B291" s="486" t="s">
        <v>667</v>
      </c>
      <c r="C291" s="487" t="s">
        <v>459</v>
      </c>
      <c r="D291" s="492">
        <v>5</v>
      </c>
      <c r="E291" s="487">
        <v>1</v>
      </c>
      <c r="F291" s="487">
        <f t="shared" si="13"/>
        <v>5</v>
      </c>
      <c r="G291" s="487">
        <v>50</v>
      </c>
      <c r="H291" s="452" t="s">
        <v>682</v>
      </c>
      <c r="I291" s="492"/>
      <c r="J291" s="489"/>
      <c r="K291" s="489"/>
      <c r="L291" s="490"/>
      <c r="M291" s="477"/>
      <c r="N291" s="477"/>
      <c r="O291" s="477"/>
      <c r="P291" s="477"/>
      <c r="Q291" s="477"/>
      <c r="R291" s="490"/>
      <c r="S291" s="490"/>
      <c r="U291" s="542"/>
      <c r="V291" s="531"/>
    </row>
    <row r="292" spans="1:22" x14ac:dyDescent="0.2">
      <c r="A292" s="467" t="s">
        <v>216</v>
      </c>
      <c r="B292" s="486" t="s">
        <v>139</v>
      </c>
      <c r="C292" s="487"/>
      <c r="D292" s="492">
        <v>0</v>
      </c>
      <c r="E292" s="487">
        <v>1</v>
      </c>
      <c r="F292" s="487">
        <f t="shared" si="13"/>
        <v>0</v>
      </c>
      <c r="G292" s="487">
        <v>15</v>
      </c>
      <c r="I292" s="487"/>
      <c r="J292" s="487"/>
      <c r="K292" s="489"/>
      <c r="L292" s="490"/>
      <c r="M292" s="477"/>
      <c r="N292" s="477"/>
      <c r="O292" s="477"/>
      <c r="P292" s="477"/>
      <c r="Q292" s="477"/>
      <c r="R292" s="490"/>
      <c r="S292" s="490"/>
      <c r="U292" s="542"/>
      <c r="V292" s="531"/>
    </row>
    <row r="293" spans="1:22" x14ac:dyDescent="0.2">
      <c r="A293" s="467"/>
      <c r="B293" s="486" t="s">
        <v>541</v>
      </c>
      <c r="C293" s="487"/>
      <c r="D293" s="492">
        <v>0</v>
      </c>
      <c r="E293" s="487">
        <v>1</v>
      </c>
      <c r="F293" s="487">
        <f t="shared" si="13"/>
        <v>0</v>
      </c>
      <c r="G293" s="487">
        <f>G292</f>
        <v>15</v>
      </c>
      <c r="I293" s="492"/>
      <c r="J293" s="489"/>
      <c r="K293" s="489"/>
      <c r="L293" s="490"/>
      <c r="M293" s="477"/>
      <c r="N293" s="477"/>
      <c r="O293" s="477"/>
      <c r="P293" s="477"/>
      <c r="Q293" s="477"/>
      <c r="R293" s="490"/>
      <c r="S293" s="490"/>
      <c r="U293" s="542"/>
      <c r="V293" s="531"/>
    </row>
    <row r="294" spans="1:22" x14ac:dyDescent="0.2">
      <c r="A294" s="467"/>
      <c r="B294" s="486" t="s">
        <v>683</v>
      </c>
      <c r="C294" s="487" t="s">
        <v>459</v>
      </c>
      <c r="D294" s="487">
        <v>0</v>
      </c>
      <c r="E294" s="487">
        <v>1</v>
      </c>
      <c r="F294" s="487">
        <f t="shared" si="13"/>
        <v>0</v>
      </c>
      <c r="G294" s="487">
        <v>0</v>
      </c>
      <c r="H294" s="494"/>
      <c r="I294" s="487"/>
      <c r="J294" s="487"/>
      <c r="K294" s="489"/>
      <c r="L294" s="490"/>
      <c r="M294" s="477"/>
      <c r="N294" s="477"/>
      <c r="O294" s="477"/>
      <c r="P294" s="477"/>
      <c r="Q294" s="477"/>
      <c r="R294" s="490"/>
      <c r="S294" s="490"/>
      <c r="U294" s="542"/>
      <c r="V294" s="531"/>
    </row>
    <row r="295" spans="1:22" x14ac:dyDescent="0.2">
      <c r="A295" s="467"/>
      <c r="B295" s="486" t="s">
        <v>626</v>
      </c>
      <c r="C295" s="487" t="s">
        <v>459</v>
      </c>
      <c r="D295" s="487">
        <v>8</v>
      </c>
      <c r="E295" s="487">
        <v>1</v>
      </c>
      <c r="F295" s="487">
        <f t="shared" si="13"/>
        <v>8</v>
      </c>
      <c r="G295" s="487">
        <v>10</v>
      </c>
      <c r="I295" s="487"/>
      <c r="J295" s="487"/>
      <c r="K295" s="489"/>
      <c r="L295" s="490"/>
      <c r="M295" s="477"/>
      <c r="N295" s="477"/>
      <c r="O295" s="477"/>
      <c r="P295" s="477"/>
      <c r="Q295" s="477"/>
      <c r="R295" s="490"/>
      <c r="S295" s="490"/>
      <c r="U295" s="542"/>
      <c r="V295" s="531"/>
    </row>
    <row r="296" spans="1:22" x14ac:dyDescent="0.2">
      <c r="A296" s="467"/>
      <c r="B296" s="486" t="s">
        <v>684</v>
      </c>
      <c r="C296" s="487" t="s">
        <v>459</v>
      </c>
      <c r="D296" s="487">
        <v>12</v>
      </c>
      <c r="E296" s="487">
        <v>1</v>
      </c>
      <c r="F296" s="487">
        <f t="shared" si="13"/>
        <v>12</v>
      </c>
      <c r="G296" s="487">
        <v>15</v>
      </c>
      <c r="I296" s="487"/>
      <c r="J296" s="487"/>
      <c r="K296" s="489"/>
      <c r="L296" s="490"/>
      <c r="M296" s="477"/>
      <c r="N296" s="477"/>
      <c r="O296" s="477"/>
      <c r="P296" s="477"/>
      <c r="Q296" s="477"/>
      <c r="R296" s="490"/>
      <c r="S296" s="490"/>
      <c r="U296" s="542"/>
      <c r="V296" s="531"/>
    </row>
    <row r="297" spans="1:22" x14ac:dyDescent="0.2">
      <c r="A297" s="467"/>
      <c r="B297" s="486" t="s">
        <v>685</v>
      </c>
      <c r="C297" s="487" t="s">
        <v>459</v>
      </c>
      <c r="D297" s="487">
        <v>30</v>
      </c>
      <c r="E297" s="487">
        <v>1</v>
      </c>
      <c r="F297" s="487">
        <f t="shared" si="13"/>
        <v>30</v>
      </c>
      <c r="G297" s="487">
        <v>50</v>
      </c>
      <c r="I297" s="487"/>
      <c r="J297" s="487"/>
      <c r="K297" s="489"/>
      <c r="L297" s="490"/>
      <c r="M297" s="477"/>
      <c r="N297" s="477"/>
      <c r="O297" s="477"/>
      <c r="P297" s="477"/>
      <c r="Q297" s="477"/>
      <c r="R297" s="490"/>
      <c r="S297" s="490"/>
      <c r="U297" s="542"/>
      <c r="V297" s="531"/>
    </row>
    <row r="298" spans="1:22" ht="16.5" customHeight="1" x14ac:dyDescent="0.2">
      <c r="A298" s="526" t="s">
        <v>218</v>
      </c>
      <c r="B298" s="534"/>
      <c r="C298" s="535"/>
      <c r="D298" s="536"/>
      <c r="E298" s="535"/>
      <c r="F298" s="535"/>
      <c r="G298" s="547"/>
      <c r="H298" s="537"/>
      <c r="I298" s="536"/>
      <c r="J298" s="536"/>
      <c r="K298" s="536"/>
      <c r="L298" s="538"/>
      <c r="M298" s="539"/>
      <c r="N298" s="539"/>
      <c r="O298" s="539"/>
      <c r="P298" s="539"/>
      <c r="Q298" s="539"/>
      <c r="R298" s="538"/>
      <c r="S298" s="538"/>
      <c r="T298" s="528"/>
      <c r="U298" s="548"/>
      <c r="V298" s="540"/>
    </row>
    <row r="299" spans="1:22" x14ac:dyDescent="0.2">
      <c r="A299" s="485" t="s">
        <v>686</v>
      </c>
      <c r="B299" s="486"/>
      <c r="C299" s="487"/>
      <c r="D299" s="492"/>
      <c r="E299" s="487"/>
      <c r="F299" s="487"/>
      <c r="G299" s="493"/>
      <c r="I299" s="492"/>
      <c r="J299" s="489"/>
      <c r="K299" s="489"/>
      <c r="L299" s="490"/>
      <c r="M299" s="477"/>
      <c r="N299" s="477"/>
      <c r="O299" s="477"/>
      <c r="P299" s="477"/>
      <c r="Q299" s="477"/>
      <c r="R299" s="490"/>
      <c r="S299" s="490"/>
      <c r="U299" s="542"/>
      <c r="V299" s="531"/>
    </row>
    <row r="300" spans="1:22" x14ac:dyDescent="0.2">
      <c r="A300" s="467" t="s">
        <v>251</v>
      </c>
      <c r="B300" s="486" t="s">
        <v>139</v>
      </c>
      <c r="C300" s="487" t="s">
        <v>459</v>
      </c>
      <c r="D300" s="492">
        <v>0</v>
      </c>
      <c r="E300" s="487">
        <v>1</v>
      </c>
      <c r="F300" s="487">
        <f t="shared" ref="F300:F319" si="14">D300*E300</f>
        <v>0</v>
      </c>
      <c r="G300" s="487">
        <v>25</v>
      </c>
      <c r="I300" s="492"/>
      <c r="J300" s="489"/>
      <c r="K300" s="489"/>
      <c r="L300" s="490"/>
      <c r="M300" s="477"/>
      <c r="N300" s="477"/>
      <c r="O300" s="477"/>
      <c r="P300" s="477"/>
      <c r="Q300" s="477"/>
      <c r="R300" s="490"/>
      <c r="S300" s="490"/>
      <c r="U300" s="542"/>
      <c r="V300" s="531"/>
    </row>
    <row r="301" spans="1:22" x14ac:dyDescent="0.2">
      <c r="A301" s="467"/>
      <c r="B301" s="486" t="s">
        <v>687</v>
      </c>
      <c r="C301" s="487" t="s">
        <v>459</v>
      </c>
      <c r="D301" s="487">
        <v>5</v>
      </c>
      <c r="E301" s="487">
        <v>1</v>
      </c>
      <c r="F301" s="487">
        <f t="shared" si="14"/>
        <v>5</v>
      </c>
      <c r="G301" s="487">
        <v>25</v>
      </c>
      <c r="H301" s="452" t="s">
        <v>688</v>
      </c>
      <c r="I301" s="492"/>
      <c r="J301" s="489"/>
      <c r="K301" s="489"/>
      <c r="L301" s="490"/>
      <c r="M301" s="477"/>
      <c r="N301" s="477"/>
      <c r="O301" s="477"/>
      <c r="P301" s="477"/>
      <c r="Q301" s="477"/>
      <c r="R301" s="490"/>
      <c r="S301" s="490"/>
      <c r="U301" s="542"/>
      <c r="V301" s="531"/>
    </row>
    <row r="302" spans="1:22" x14ac:dyDescent="0.2">
      <c r="A302" s="467"/>
      <c r="B302" s="486" t="s">
        <v>689</v>
      </c>
      <c r="C302" s="487" t="s">
        <v>459</v>
      </c>
      <c r="D302" s="492">
        <v>40</v>
      </c>
      <c r="E302" s="487">
        <v>1</v>
      </c>
      <c r="F302" s="487">
        <f t="shared" si="14"/>
        <v>40</v>
      </c>
      <c r="G302" s="487">
        <v>25</v>
      </c>
      <c r="I302" s="492"/>
      <c r="J302" s="489"/>
      <c r="K302" s="489"/>
      <c r="L302" s="490"/>
      <c r="M302" s="477"/>
      <c r="N302" s="477"/>
      <c r="O302" s="477"/>
      <c r="P302" s="477"/>
      <c r="Q302" s="477"/>
      <c r="R302" s="490"/>
      <c r="S302" s="490"/>
      <c r="U302" s="542"/>
      <c r="V302" s="531"/>
    </row>
    <row r="303" spans="1:22" x14ac:dyDescent="0.2">
      <c r="A303" s="467"/>
      <c r="B303" s="486" t="s">
        <v>690</v>
      </c>
      <c r="C303" s="487" t="s">
        <v>459</v>
      </c>
      <c r="D303" s="492">
        <v>80</v>
      </c>
      <c r="E303" s="487">
        <v>1</v>
      </c>
      <c r="F303" s="487">
        <f t="shared" si="14"/>
        <v>80</v>
      </c>
      <c r="G303" s="487">
        <v>25</v>
      </c>
      <c r="I303" s="492"/>
      <c r="J303" s="489"/>
      <c r="K303" s="489"/>
      <c r="L303" s="490"/>
      <c r="M303" s="477"/>
      <c r="N303" s="477"/>
      <c r="O303" s="477"/>
      <c r="P303" s="477"/>
      <c r="Q303" s="477"/>
      <c r="R303" s="490"/>
      <c r="S303" s="490"/>
      <c r="U303" s="542"/>
      <c r="V303" s="531"/>
    </row>
    <row r="304" spans="1:22" x14ac:dyDescent="0.2">
      <c r="A304" s="467"/>
      <c r="B304" s="467" t="s">
        <v>223</v>
      </c>
      <c r="C304" s="487" t="s">
        <v>459</v>
      </c>
      <c r="D304" s="492">
        <v>15</v>
      </c>
      <c r="E304" s="487">
        <v>1</v>
      </c>
      <c r="F304" s="487">
        <f t="shared" si="14"/>
        <v>15</v>
      </c>
      <c r="G304" s="487">
        <v>25</v>
      </c>
      <c r="I304" s="492"/>
      <c r="J304" s="489"/>
      <c r="K304" s="489"/>
      <c r="L304" s="490"/>
      <c r="M304" s="477"/>
      <c r="N304" s="477"/>
      <c r="O304" s="477"/>
      <c r="P304" s="477"/>
      <c r="Q304" s="477"/>
      <c r="R304" s="490"/>
      <c r="S304" s="490"/>
      <c r="U304" s="542"/>
      <c r="V304" s="531"/>
    </row>
    <row r="305" spans="1:22" x14ac:dyDescent="0.2">
      <c r="A305" s="467"/>
      <c r="B305" s="467" t="s">
        <v>691</v>
      </c>
      <c r="C305" s="487" t="s">
        <v>656</v>
      </c>
      <c r="D305" s="492">
        <v>60</v>
      </c>
      <c r="E305" s="487">
        <v>1</v>
      </c>
      <c r="F305" s="487">
        <f t="shared" si="14"/>
        <v>60</v>
      </c>
      <c r="G305" s="487">
        <v>20</v>
      </c>
      <c r="I305" s="492"/>
      <c r="J305" s="489"/>
      <c r="K305" s="489"/>
      <c r="L305" s="490"/>
      <c r="M305" s="477"/>
      <c r="N305" s="477"/>
      <c r="O305" s="477"/>
      <c r="P305" s="477"/>
      <c r="Q305" s="477"/>
      <c r="R305" s="490"/>
      <c r="S305" s="490"/>
      <c r="U305" s="542"/>
      <c r="V305" s="531"/>
    </row>
    <row r="306" spans="1:22" x14ac:dyDescent="0.2">
      <c r="A306" s="467"/>
      <c r="B306" s="486" t="s">
        <v>139</v>
      </c>
      <c r="C306" s="487" t="s">
        <v>459</v>
      </c>
      <c r="D306" s="492">
        <v>0</v>
      </c>
      <c r="E306" s="487">
        <v>1</v>
      </c>
      <c r="F306" s="487">
        <f t="shared" si="14"/>
        <v>0</v>
      </c>
      <c r="G306" s="487">
        <v>25</v>
      </c>
      <c r="I306" s="492"/>
      <c r="J306" s="489"/>
      <c r="K306" s="489"/>
      <c r="L306" s="490"/>
      <c r="M306" s="477"/>
      <c r="N306" s="477"/>
      <c r="O306" s="477"/>
      <c r="P306" s="477"/>
      <c r="Q306" s="477"/>
      <c r="R306" s="490"/>
      <c r="S306" s="490"/>
      <c r="U306" s="542"/>
      <c r="V306" s="531"/>
    </row>
    <row r="307" spans="1:22" x14ac:dyDescent="0.2">
      <c r="A307" s="467"/>
      <c r="B307" s="486" t="s">
        <v>692</v>
      </c>
      <c r="C307" s="487" t="s">
        <v>459</v>
      </c>
      <c r="D307" s="492">
        <v>20</v>
      </c>
      <c r="E307" s="487">
        <v>1</v>
      </c>
      <c r="F307" s="487">
        <f t="shared" si="14"/>
        <v>20</v>
      </c>
      <c r="G307" s="487">
        <v>25</v>
      </c>
      <c r="I307" s="492"/>
      <c r="J307" s="489"/>
      <c r="K307" s="489"/>
      <c r="L307" s="490"/>
      <c r="M307" s="477"/>
      <c r="N307" s="477"/>
      <c r="O307" s="477"/>
      <c r="P307" s="477"/>
      <c r="Q307" s="477"/>
      <c r="R307" s="490"/>
      <c r="S307" s="490"/>
      <c r="U307" s="542"/>
      <c r="V307" s="531"/>
    </row>
    <row r="308" spans="1:22" x14ac:dyDescent="0.2">
      <c r="A308" s="467"/>
      <c r="B308" s="486" t="s">
        <v>693</v>
      </c>
      <c r="C308" s="487" t="s">
        <v>459</v>
      </c>
      <c r="D308" s="492">
        <v>15</v>
      </c>
      <c r="E308" s="487">
        <v>1</v>
      </c>
      <c r="F308" s="487">
        <f t="shared" si="14"/>
        <v>15</v>
      </c>
      <c r="G308" s="487">
        <v>25</v>
      </c>
      <c r="I308" s="492"/>
      <c r="J308" s="489"/>
      <c r="K308" s="489"/>
      <c r="L308" s="490"/>
      <c r="M308" s="477"/>
      <c r="N308" s="477"/>
      <c r="O308" s="477"/>
      <c r="P308" s="477"/>
      <c r="Q308" s="477"/>
      <c r="R308" s="490"/>
      <c r="S308" s="490"/>
      <c r="U308" s="542"/>
      <c r="V308" s="531"/>
    </row>
    <row r="309" spans="1:22" x14ac:dyDescent="0.2">
      <c r="A309" s="467"/>
      <c r="B309" s="486" t="s">
        <v>694</v>
      </c>
      <c r="C309" s="487" t="s">
        <v>459</v>
      </c>
      <c r="D309" s="492">
        <v>10</v>
      </c>
      <c r="E309" s="487">
        <v>1</v>
      </c>
      <c r="F309" s="487">
        <f t="shared" si="14"/>
        <v>10</v>
      </c>
      <c r="G309" s="487">
        <v>25</v>
      </c>
      <c r="I309" s="492"/>
      <c r="J309" s="489"/>
      <c r="K309" s="489"/>
      <c r="L309" s="490"/>
      <c r="M309" s="477"/>
      <c r="N309" s="477"/>
      <c r="O309" s="477"/>
      <c r="P309" s="477"/>
      <c r="Q309" s="477"/>
      <c r="R309" s="490"/>
      <c r="S309" s="490"/>
      <c r="U309" s="542"/>
      <c r="V309" s="531"/>
    </row>
    <row r="310" spans="1:22" ht="12.75" customHeight="1" x14ac:dyDescent="0.2">
      <c r="A310" s="467" t="s">
        <v>695</v>
      </c>
      <c r="B310" s="508" t="str">
        <f>B300</f>
        <v>-</v>
      </c>
      <c r="C310" s="487" t="s">
        <v>459</v>
      </c>
      <c r="D310" s="492">
        <v>0</v>
      </c>
      <c r="E310" s="487">
        <v>1</v>
      </c>
      <c r="F310" s="487">
        <f t="shared" si="14"/>
        <v>0</v>
      </c>
      <c r="G310" s="550">
        <v>25</v>
      </c>
      <c r="H310" s="732" t="s">
        <v>696</v>
      </c>
      <c r="I310" s="492"/>
      <c r="J310" s="489"/>
      <c r="K310" s="489"/>
      <c r="L310" s="490"/>
      <c r="M310" s="477"/>
      <c r="N310" s="477"/>
      <c r="O310" s="477"/>
      <c r="P310" s="477"/>
      <c r="Q310" s="477"/>
      <c r="R310" s="490"/>
      <c r="S310" s="490"/>
      <c r="U310" s="542"/>
      <c r="V310" s="531"/>
    </row>
    <row r="311" spans="1:22" x14ac:dyDescent="0.2">
      <c r="A311" s="467"/>
      <c r="B311" s="508" t="str">
        <f>B301</f>
        <v>sans chauffage ni rafraîchissement actif</v>
      </c>
      <c r="C311" s="550" t="s">
        <v>459</v>
      </c>
      <c r="D311" s="492">
        <f>D301*2</f>
        <v>10</v>
      </c>
      <c r="E311" s="487">
        <v>1</v>
      </c>
      <c r="F311" s="487">
        <f t="shared" si="14"/>
        <v>10</v>
      </c>
      <c r="G311" s="550">
        <v>25</v>
      </c>
      <c r="H311" s="732"/>
      <c r="I311" s="492"/>
      <c r="J311" s="489"/>
      <c r="K311" s="489"/>
      <c r="L311" s="490"/>
      <c r="M311" s="477"/>
      <c r="N311" s="477"/>
      <c r="O311" s="477"/>
      <c r="P311" s="477"/>
      <c r="Q311" s="477"/>
      <c r="R311" s="490"/>
      <c r="S311" s="490"/>
      <c r="U311" s="542"/>
      <c r="V311" s="531"/>
    </row>
    <row r="312" spans="1:22" x14ac:dyDescent="0.2">
      <c r="A312" s="467"/>
      <c r="B312" s="508" t="str">
        <f>B302</f>
        <v>unique ou mutualisé réversible (split ou PAC)</v>
      </c>
      <c r="C312" s="550" t="s">
        <v>459</v>
      </c>
      <c r="D312" s="492">
        <f>D302*2</f>
        <v>80</v>
      </c>
      <c r="E312" s="487">
        <v>1</v>
      </c>
      <c r="F312" s="487">
        <f t="shared" si="14"/>
        <v>80</v>
      </c>
      <c r="G312" s="550">
        <v>25</v>
      </c>
      <c r="H312" s="732"/>
      <c r="I312" s="492"/>
      <c r="J312" s="489"/>
      <c r="K312" s="489"/>
      <c r="L312" s="490"/>
      <c r="M312" s="477"/>
      <c r="N312" s="477"/>
      <c r="O312" s="477"/>
      <c r="P312" s="477"/>
      <c r="Q312" s="477"/>
      <c r="R312" s="490"/>
      <c r="S312" s="490"/>
      <c r="U312" s="542"/>
      <c r="V312" s="531"/>
    </row>
    <row r="313" spans="1:22" x14ac:dyDescent="0.2">
      <c r="A313" s="467"/>
      <c r="B313" s="508" t="str">
        <f>B303</f>
        <v>double (chaudière + groupe froid)</v>
      </c>
      <c r="C313" s="550" t="s">
        <v>459</v>
      </c>
      <c r="D313" s="492">
        <f>D303*2</f>
        <v>160</v>
      </c>
      <c r="E313" s="487">
        <v>1</v>
      </c>
      <c r="F313" s="487">
        <f t="shared" si="14"/>
        <v>160</v>
      </c>
      <c r="G313" s="550">
        <v>25</v>
      </c>
      <c r="H313" s="732"/>
      <c r="I313" s="492"/>
      <c r="J313" s="489"/>
      <c r="K313" s="489"/>
      <c r="L313" s="490"/>
      <c r="M313" s="477"/>
      <c r="N313" s="477"/>
      <c r="O313" s="477"/>
      <c r="P313" s="477"/>
      <c r="Q313" s="477"/>
      <c r="R313" s="490"/>
      <c r="S313" s="490"/>
      <c r="U313" s="542"/>
      <c r="V313" s="531"/>
    </row>
    <row r="314" spans="1:22" x14ac:dyDescent="0.2">
      <c r="A314" s="467"/>
      <c r="B314" s="558" t="str">
        <f>B304</f>
        <v>distribution (câblages)</v>
      </c>
      <c r="C314" s="550" t="s">
        <v>459</v>
      </c>
      <c r="D314" s="492">
        <f>D304*2</f>
        <v>30</v>
      </c>
      <c r="E314" s="487">
        <v>1</v>
      </c>
      <c r="F314" s="487">
        <f t="shared" si="14"/>
        <v>30</v>
      </c>
      <c r="G314" s="550">
        <v>25</v>
      </c>
      <c r="H314" s="732"/>
      <c r="I314" s="492"/>
      <c r="J314" s="489"/>
      <c r="K314" s="489"/>
      <c r="L314" s="490"/>
      <c r="M314" s="477"/>
      <c r="N314" s="477"/>
      <c r="O314" s="477"/>
      <c r="P314" s="477"/>
      <c r="Q314" s="477"/>
      <c r="R314" s="490"/>
      <c r="S314" s="490"/>
      <c r="U314" s="542"/>
      <c r="V314" s="531"/>
    </row>
    <row r="315" spans="1:22" x14ac:dyDescent="0.2">
      <c r="A315" s="467"/>
      <c r="B315" s="508" t="str">
        <f>B306</f>
        <v>-</v>
      </c>
      <c r="C315" s="550" t="s">
        <v>459</v>
      </c>
      <c r="D315" s="492">
        <v>0</v>
      </c>
      <c r="E315" s="487">
        <v>1</v>
      </c>
      <c r="F315" s="487">
        <f t="shared" si="14"/>
        <v>0</v>
      </c>
      <c r="G315" s="550">
        <v>25</v>
      </c>
      <c r="H315" s="732"/>
      <c r="I315" s="492"/>
      <c r="J315" s="489"/>
      <c r="K315" s="489"/>
      <c r="L315" s="490"/>
      <c r="M315" s="477"/>
      <c r="N315" s="477"/>
      <c r="O315" s="477"/>
      <c r="P315" s="477"/>
      <c r="Q315" s="477"/>
      <c r="R315" s="490"/>
      <c r="S315" s="490"/>
      <c r="U315" s="542"/>
      <c r="V315" s="531"/>
    </row>
    <row r="316" spans="1:22" x14ac:dyDescent="0.2">
      <c r="A316" s="467"/>
      <c r="B316" s="508" t="str">
        <f>B307</f>
        <v>appareillage high tech</v>
      </c>
      <c r="C316" s="550" t="s">
        <v>459</v>
      </c>
      <c r="D316" s="492">
        <f>D307*2</f>
        <v>40</v>
      </c>
      <c r="E316" s="487">
        <v>1</v>
      </c>
      <c r="F316" s="487">
        <f t="shared" si="14"/>
        <v>40</v>
      </c>
      <c r="G316" s="550">
        <v>25</v>
      </c>
      <c r="H316" s="732"/>
      <c r="I316" s="492"/>
      <c r="J316" s="489"/>
      <c r="K316" s="489"/>
      <c r="L316" s="490"/>
      <c r="M316" s="477"/>
      <c r="N316" s="477"/>
      <c r="O316" s="477"/>
      <c r="P316" s="477"/>
      <c r="Q316" s="477"/>
      <c r="R316" s="490"/>
      <c r="S316" s="490"/>
      <c r="U316" s="542"/>
      <c r="V316" s="531"/>
    </row>
    <row r="317" spans="1:22" x14ac:dyDescent="0.2">
      <c r="A317" s="467"/>
      <c r="B317" s="508" t="str">
        <f>B308</f>
        <v>appareillage standard</v>
      </c>
      <c r="C317" s="550" t="s">
        <v>459</v>
      </c>
      <c r="D317" s="492">
        <f>D308*2</f>
        <v>30</v>
      </c>
      <c r="E317" s="487">
        <v>1</v>
      </c>
      <c r="F317" s="487">
        <f t="shared" si="14"/>
        <v>30</v>
      </c>
      <c r="G317" s="550">
        <v>25</v>
      </c>
      <c r="H317" s="732"/>
      <c r="I317" s="492"/>
      <c r="J317" s="489"/>
      <c r="K317" s="489"/>
      <c r="L317" s="490"/>
      <c r="M317" s="477"/>
      <c r="N317" s="477"/>
      <c r="O317" s="477"/>
      <c r="P317" s="477"/>
      <c r="Q317" s="477"/>
      <c r="R317" s="490"/>
      <c r="S317" s="490"/>
      <c r="U317" s="542"/>
      <c r="V317" s="531"/>
    </row>
    <row r="318" spans="1:22" x14ac:dyDescent="0.2">
      <c r="A318" s="467"/>
      <c r="B318" s="508" t="str">
        <f>B309</f>
        <v>appareillage low tech</v>
      </c>
      <c r="C318" s="550" t="s">
        <v>459</v>
      </c>
      <c r="D318" s="492">
        <f>D309*2</f>
        <v>20</v>
      </c>
      <c r="E318" s="487">
        <v>1</v>
      </c>
      <c r="F318" s="487">
        <f t="shared" si="14"/>
        <v>20</v>
      </c>
      <c r="G318" s="550">
        <v>25</v>
      </c>
      <c r="H318" s="732"/>
      <c r="I318" s="492"/>
      <c r="J318" s="489"/>
      <c r="K318" s="489"/>
      <c r="L318" s="490"/>
      <c r="M318" s="477"/>
      <c r="N318" s="477"/>
      <c r="O318" s="477"/>
      <c r="P318" s="477"/>
      <c r="Q318" s="477"/>
      <c r="R318" s="490"/>
      <c r="S318" s="490"/>
      <c r="U318" s="542"/>
      <c r="V318" s="531"/>
    </row>
    <row r="319" spans="1:22" ht="12.75" customHeight="1" x14ac:dyDescent="0.2">
      <c r="A319" s="467" t="s">
        <v>697</v>
      </c>
      <c r="B319" s="486" t="s">
        <v>698</v>
      </c>
      <c r="C319" s="487" t="s">
        <v>656</v>
      </c>
      <c r="D319" s="492">
        <v>2500</v>
      </c>
      <c r="E319" s="487">
        <v>1</v>
      </c>
      <c r="F319" s="487">
        <f t="shared" si="14"/>
        <v>2500</v>
      </c>
      <c r="G319" s="487">
        <v>10</v>
      </c>
      <c r="H319" s="452" t="s">
        <v>699</v>
      </c>
      <c r="I319" s="492"/>
      <c r="J319" s="489"/>
      <c r="K319" s="489"/>
      <c r="L319" s="490"/>
      <c r="M319" s="477"/>
      <c r="N319" s="477"/>
      <c r="O319" s="477"/>
      <c r="P319" s="477"/>
      <c r="Q319" s="477"/>
      <c r="R319" s="490"/>
      <c r="S319" s="490"/>
      <c r="U319" s="542"/>
      <c r="V319" s="531"/>
    </row>
    <row r="320" spans="1:22" x14ac:dyDescent="0.2">
      <c r="A320" s="485" t="s">
        <v>229</v>
      </c>
      <c r="B320" s="486"/>
      <c r="C320" s="487"/>
      <c r="D320" s="492"/>
      <c r="E320" s="487"/>
      <c r="F320" s="487"/>
      <c r="G320" s="493"/>
      <c r="I320" s="492"/>
      <c r="J320" s="489"/>
      <c r="K320" s="489"/>
      <c r="L320" s="490"/>
      <c r="M320" s="477"/>
      <c r="N320" s="477"/>
      <c r="O320" s="477"/>
      <c r="P320" s="477"/>
      <c r="Q320" s="477"/>
      <c r="R320" s="490"/>
      <c r="S320" s="490"/>
      <c r="U320" s="542"/>
      <c r="V320" s="531"/>
    </row>
    <row r="321" spans="1:22" x14ac:dyDescent="0.2">
      <c r="A321" s="467" t="s">
        <v>251</v>
      </c>
      <c r="B321" s="486" t="s">
        <v>230</v>
      </c>
      <c r="C321" s="487" t="s">
        <v>459</v>
      </c>
      <c r="D321" s="492">
        <v>20</v>
      </c>
      <c r="E321" s="487">
        <v>1</v>
      </c>
      <c r="F321" s="487">
        <f t="shared" ref="F321:F340" si="15">D321*E321</f>
        <v>20</v>
      </c>
      <c r="G321" s="487">
        <v>25</v>
      </c>
      <c r="I321" s="492"/>
      <c r="J321" s="489"/>
      <c r="K321" s="489"/>
      <c r="L321" s="490"/>
      <c r="M321" s="477"/>
      <c r="N321" s="477"/>
      <c r="O321" s="477"/>
      <c r="P321" s="477"/>
      <c r="Q321" s="477"/>
      <c r="R321" s="490"/>
      <c r="S321" s="490"/>
      <c r="U321" s="542"/>
      <c r="V321" s="531"/>
    </row>
    <row r="322" spans="1:22" x14ac:dyDescent="0.2">
      <c r="A322" s="467"/>
      <c r="B322" s="486" t="s">
        <v>231</v>
      </c>
      <c r="C322" s="487" t="s">
        <v>700</v>
      </c>
      <c r="D322" s="492">
        <v>300</v>
      </c>
      <c r="E322" s="487">
        <v>1</v>
      </c>
      <c r="F322" s="487">
        <f t="shared" si="15"/>
        <v>300</v>
      </c>
      <c r="G322" s="487">
        <v>25</v>
      </c>
      <c r="I322" s="492"/>
      <c r="J322" s="489"/>
      <c r="K322" s="489"/>
      <c r="L322" s="490"/>
      <c r="M322" s="477"/>
      <c r="N322" s="477"/>
      <c r="O322" s="477"/>
      <c r="P322" s="477"/>
      <c r="Q322" s="477"/>
      <c r="R322" s="490"/>
      <c r="S322" s="490"/>
      <c r="U322" s="542"/>
      <c r="V322" s="531"/>
    </row>
    <row r="323" spans="1:22" x14ac:dyDescent="0.2">
      <c r="A323" s="467"/>
      <c r="B323" s="486" t="s">
        <v>139</v>
      </c>
      <c r="C323" s="487" t="s">
        <v>459</v>
      </c>
      <c r="D323" s="492">
        <v>0</v>
      </c>
      <c r="E323" s="487">
        <v>1</v>
      </c>
      <c r="F323" s="487">
        <f t="shared" si="15"/>
        <v>0</v>
      </c>
      <c r="G323" s="487">
        <v>25</v>
      </c>
      <c r="I323" s="492"/>
      <c r="J323" s="489"/>
      <c r="K323" s="489"/>
      <c r="L323" s="490"/>
      <c r="M323" s="477"/>
      <c r="N323" s="477"/>
      <c r="O323" s="477"/>
      <c r="P323" s="477"/>
      <c r="Q323" s="477"/>
      <c r="R323" s="490"/>
      <c r="S323" s="490"/>
      <c r="U323" s="542"/>
      <c r="V323" s="531"/>
    </row>
    <row r="324" spans="1:22" x14ac:dyDescent="0.2">
      <c r="A324" s="467"/>
      <c r="B324" s="486" t="s">
        <v>701</v>
      </c>
      <c r="C324" s="487" t="s">
        <v>459</v>
      </c>
      <c r="D324" s="487">
        <v>2</v>
      </c>
      <c r="E324" s="487">
        <v>1</v>
      </c>
      <c r="F324" s="487">
        <f t="shared" si="15"/>
        <v>2</v>
      </c>
      <c r="G324" s="487">
        <v>25</v>
      </c>
      <c r="I324" s="492"/>
      <c r="J324" s="489"/>
      <c r="K324" s="489"/>
      <c r="L324" s="490"/>
      <c r="M324" s="477"/>
      <c r="N324" s="477"/>
      <c r="O324" s="477"/>
      <c r="P324" s="477"/>
      <c r="Q324" s="477"/>
      <c r="R324" s="490"/>
      <c r="S324" s="490"/>
      <c r="U324" s="542"/>
      <c r="V324" s="531"/>
    </row>
    <row r="325" spans="1:22" x14ac:dyDescent="0.2">
      <c r="A325" s="467"/>
      <c r="B325" s="486" t="s">
        <v>702</v>
      </c>
      <c r="C325" s="487" t="s">
        <v>459</v>
      </c>
      <c r="D325" s="492">
        <v>5</v>
      </c>
      <c r="E325" s="487">
        <v>1</v>
      </c>
      <c r="F325" s="487">
        <f t="shared" si="15"/>
        <v>5</v>
      </c>
      <c r="G325" s="487">
        <v>25</v>
      </c>
      <c r="I325" s="492"/>
      <c r="J325" s="489"/>
      <c r="K325" s="489"/>
      <c r="L325" s="490"/>
      <c r="M325" s="477"/>
      <c r="N325" s="477"/>
      <c r="O325" s="477"/>
      <c r="P325" s="477"/>
      <c r="Q325" s="477"/>
      <c r="R325" s="490"/>
      <c r="S325" s="490"/>
      <c r="U325" s="542"/>
      <c r="V325" s="531"/>
    </row>
    <row r="326" spans="1:22" x14ac:dyDescent="0.2">
      <c r="A326" s="467"/>
      <c r="B326" s="486" t="s">
        <v>703</v>
      </c>
      <c r="C326" s="487" t="s">
        <v>459</v>
      </c>
      <c r="D326" s="492">
        <v>20</v>
      </c>
      <c r="E326" s="487">
        <v>1</v>
      </c>
      <c r="F326" s="487">
        <f t="shared" si="15"/>
        <v>20</v>
      </c>
      <c r="G326" s="487">
        <v>25</v>
      </c>
      <c r="I326" s="492"/>
      <c r="J326" s="489"/>
      <c r="K326" s="489"/>
      <c r="L326" s="490"/>
      <c r="M326" s="477"/>
      <c r="N326" s="477"/>
      <c r="O326" s="477"/>
      <c r="P326" s="477"/>
      <c r="Q326" s="477"/>
      <c r="R326" s="490"/>
      <c r="S326" s="490"/>
      <c r="U326" s="542"/>
      <c r="V326" s="531"/>
    </row>
    <row r="327" spans="1:22" x14ac:dyDescent="0.2">
      <c r="A327" s="467" t="s">
        <v>695</v>
      </c>
      <c r="B327" s="508" t="str">
        <f t="shared" ref="B327:C332" si="16">B321</f>
        <v>tuyauteries</v>
      </c>
      <c r="C327" s="560" t="str">
        <f t="shared" si="16"/>
        <v>kgCO2e / m²</v>
      </c>
      <c r="D327" s="492">
        <f>2*D321</f>
        <v>40</v>
      </c>
      <c r="E327" s="487">
        <v>1</v>
      </c>
      <c r="F327" s="487">
        <f t="shared" si="15"/>
        <v>40</v>
      </c>
      <c r="G327" s="487">
        <v>25</v>
      </c>
      <c r="H327" s="452" t="s">
        <v>696</v>
      </c>
      <c r="I327" s="492"/>
      <c r="J327" s="489"/>
      <c r="K327" s="489"/>
      <c r="L327" s="490"/>
      <c r="M327" s="477"/>
      <c r="N327" s="477"/>
      <c r="O327" s="477"/>
      <c r="P327" s="477"/>
      <c r="Q327" s="477"/>
      <c r="R327" s="490"/>
      <c r="S327" s="490"/>
      <c r="U327" s="542"/>
      <c r="V327" s="531"/>
    </row>
    <row r="328" spans="1:22" x14ac:dyDescent="0.2">
      <c r="A328" s="467"/>
      <c r="B328" s="508" t="str">
        <f t="shared" si="16"/>
        <v>équipements sanitaires</v>
      </c>
      <c r="C328" s="560" t="str">
        <f t="shared" si="16"/>
        <v>kgCO2e / m² de LS</v>
      </c>
      <c r="D328" s="492">
        <v>300</v>
      </c>
      <c r="E328" s="487">
        <v>1</v>
      </c>
      <c r="F328" s="487">
        <f t="shared" si="15"/>
        <v>300</v>
      </c>
      <c r="G328" s="487">
        <v>25</v>
      </c>
      <c r="I328" s="492"/>
      <c r="J328" s="489"/>
      <c r="K328" s="489"/>
      <c r="L328" s="490"/>
      <c r="M328" s="477"/>
      <c r="N328" s="477"/>
      <c r="O328" s="477"/>
      <c r="P328" s="477"/>
      <c r="Q328" s="477"/>
      <c r="R328" s="490"/>
      <c r="S328" s="490"/>
      <c r="U328" s="542"/>
      <c r="V328" s="531"/>
    </row>
    <row r="329" spans="1:22" ht="12.75" customHeight="1" x14ac:dyDescent="0.2">
      <c r="A329" s="467"/>
      <c r="B329" s="508" t="str">
        <f t="shared" si="16"/>
        <v>-</v>
      </c>
      <c r="C329" s="560" t="str">
        <f t="shared" si="16"/>
        <v>kgCO2e / m²</v>
      </c>
      <c r="D329" s="492">
        <f>2*D323</f>
        <v>0</v>
      </c>
      <c r="E329" s="487">
        <v>1</v>
      </c>
      <c r="F329" s="487">
        <f t="shared" si="15"/>
        <v>0</v>
      </c>
      <c r="G329" s="487">
        <v>25</v>
      </c>
      <c r="H329" s="732" t="s">
        <v>696</v>
      </c>
      <c r="I329" s="492"/>
      <c r="J329" s="489"/>
      <c r="K329" s="489"/>
      <c r="L329" s="490"/>
      <c r="M329" s="477"/>
      <c r="N329" s="477"/>
      <c r="O329" s="477"/>
      <c r="P329" s="477"/>
      <c r="Q329" s="477"/>
      <c r="R329" s="490"/>
      <c r="S329" s="490"/>
      <c r="U329" s="542"/>
      <c r="V329" s="531"/>
    </row>
    <row r="330" spans="1:22" x14ac:dyDescent="0.2">
      <c r="A330" s="467"/>
      <c r="B330" s="508" t="str">
        <f t="shared" si="16"/>
        <v>ventilation naturelle</v>
      </c>
      <c r="C330" s="560" t="str">
        <f t="shared" si="16"/>
        <v>kgCO2e / m²</v>
      </c>
      <c r="D330" s="492">
        <f>2*D324</f>
        <v>4</v>
      </c>
      <c r="E330" s="487">
        <v>1</v>
      </c>
      <c r="F330" s="487">
        <f t="shared" si="15"/>
        <v>4</v>
      </c>
      <c r="G330" s="487">
        <v>25</v>
      </c>
      <c r="H330" s="732"/>
      <c r="I330" s="492"/>
      <c r="J330" s="489"/>
      <c r="K330" s="489"/>
      <c r="L330" s="490"/>
      <c r="M330" s="477"/>
      <c r="N330" s="477"/>
      <c r="O330" s="477"/>
      <c r="P330" s="477"/>
      <c r="Q330" s="477"/>
      <c r="R330" s="490"/>
      <c r="S330" s="490"/>
      <c r="U330" s="542"/>
      <c r="V330" s="531"/>
    </row>
    <row r="331" spans="1:22" x14ac:dyDescent="0.2">
      <c r="A331" s="467"/>
      <c r="B331" s="508" t="str">
        <f t="shared" si="16"/>
        <v>VMC simple flux</v>
      </c>
      <c r="C331" s="560" t="str">
        <f t="shared" si="16"/>
        <v>kgCO2e / m²</v>
      </c>
      <c r="D331" s="492">
        <f>2*D325</f>
        <v>10</v>
      </c>
      <c r="E331" s="487">
        <v>1</v>
      </c>
      <c r="F331" s="487">
        <f t="shared" si="15"/>
        <v>10</v>
      </c>
      <c r="G331" s="487">
        <v>25</v>
      </c>
      <c r="H331" s="732"/>
      <c r="I331" s="492"/>
      <c r="J331" s="489"/>
      <c r="K331" s="489"/>
      <c r="L331" s="490"/>
      <c r="M331" s="477"/>
      <c r="N331" s="477"/>
      <c r="O331" s="477"/>
      <c r="P331" s="477"/>
      <c r="Q331" s="477"/>
      <c r="R331" s="490"/>
      <c r="S331" s="490"/>
      <c r="U331" s="542"/>
      <c r="V331" s="531"/>
    </row>
    <row r="332" spans="1:22" x14ac:dyDescent="0.2">
      <c r="A332" s="467"/>
      <c r="B332" s="508" t="str">
        <f t="shared" si="16"/>
        <v>VMC double flux</v>
      </c>
      <c r="C332" s="560" t="str">
        <f t="shared" si="16"/>
        <v>kgCO2e / m²</v>
      </c>
      <c r="D332" s="492">
        <f>2*D326</f>
        <v>40</v>
      </c>
      <c r="E332" s="487">
        <v>1</v>
      </c>
      <c r="F332" s="487">
        <f t="shared" si="15"/>
        <v>40</v>
      </c>
      <c r="G332" s="487">
        <v>25</v>
      </c>
      <c r="H332" s="732"/>
      <c r="I332" s="492"/>
      <c r="J332" s="489"/>
      <c r="K332" s="489"/>
      <c r="L332" s="490"/>
      <c r="M332" s="477"/>
      <c r="N332" s="477"/>
      <c r="O332" s="477"/>
      <c r="P332" s="477"/>
      <c r="Q332" s="477"/>
      <c r="R332" s="490"/>
      <c r="S332" s="490"/>
      <c r="U332" s="542"/>
      <c r="V332" s="531"/>
    </row>
    <row r="333" spans="1:22" x14ac:dyDescent="0.2">
      <c r="A333" s="467" t="s">
        <v>234</v>
      </c>
      <c r="B333" s="486" t="s">
        <v>235</v>
      </c>
      <c r="C333" s="487" t="s">
        <v>558</v>
      </c>
      <c r="D333" s="492">
        <v>100</v>
      </c>
      <c r="E333" s="487">
        <v>0.5</v>
      </c>
      <c r="F333" s="487">
        <f t="shared" si="15"/>
        <v>50</v>
      </c>
      <c r="G333" s="487">
        <v>30</v>
      </c>
      <c r="H333" s="452" t="s">
        <v>704</v>
      </c>
      <c r="I333" s="492"/>
      <c r="J333" s="489"/>
      <c r="K333" s="489"/>
      <c r="L333" s="490"/>
      <c r="M333" s="477"/>
      <c r="N333" s="477"/>
      <c r="O333" s="477"/>
      <c r="P333" s="477"/>
      <c r="Q333" s="477"/>
      <c r="R333" s="490"/>
      <c r="S333" s="490"/>
      <c r="U333" s="542"/>
      <c r="V333" s="531"/>
    </row>
    <row r="334" spans="1:22" x14ac:dyDescent="0.2">
      <c r="A334" s="467"/>
      <c r="B334" s="486" t="s">
        <v>139</v>
      </c>
      <c r="C334" s="487" t="s">
        <v>656</v>
      </c>
      <c r="D334" s="492">
        <v>0</v>
      </c>
      <c r="E334" s="487">
        <v>1</v>
      </c>
      <c r="F334" s="487">
        <f t="shared" si="15"/>
        <v>0</v>
      </c>
      <c r="G334" s="487">
        <v>30</v>
      </c>
      <c r="I334" s="492"/>
      <c r="J334" s="489"/>
      <c r="K334" s="489"/>
      <c r="L334" s="490"/>
      <c r="M334" s="477"/>
      <c r="N334" s="477"/>
      <c r="O334" s="477"/>
      <c r="P334" s="477"/>
      <c r="Q334" s="477"/>
      <c r="R334" s="490"/>
      <c r="S334" s="490"/>
      <c r="U334" s="542"/>
      <c r="V334" s="531"/>
    </row>
    <row r="335" spans="1:22" ht="12.75" customHeight="1" x14ac:dyDescent="0.2">
      <c r="A335" s="467"/>
      <c r="B335" s="486" t="s">
        <v>705</v>
      </c>
      <c r="C335" s="487" t="s">
        <v>656</v>
      </c>
      <c r="D335" s="492">
        <v>0</v>
      </c>
      <c r="E335" s="487">
        <v>0.8</v>
      </c>
      <c r="F335" s="487">
        <f t="shared" si="15"/>
        <v>0</v>
      </c>
      <c r="G335" s="487">
        <v>30</v>
      </c>
      <c r="I335" s="492"/>
      <c r="J335" s="489"/>
      <c r="K335" s="489"/>
      <c r="L335" s="490"/>
      <c r="M335" s="477"/>
      <c r="N335" s="477"/>
      <c r="O335" s="477"/>
      <c r="P335" s="477"/>
      <c r="Q335" s="477"/>
      <c r="R335" s="490"/>
      <c r="S335" s="490"/>
      <c r="U335" s="542"/>
      <c r="V335" s="531"/>
    </row>
    <row r="336" spans="1:22" ht="12.75" customHeight="1" x14ac:dyDescent="0.2">
      <c r="A336" s="467"/>
      <c r="B336" s="486" t="s">
        <v>706</v>
      </c>
      <c r="C336" s="487" t="s">
        <v>656</v>
      </c>
      <c r="D336" s="492">
        <v>15000</v>
      </c>
      <c r="E336" s="487">
        <v>0.8</v>
      </c>
      <c r="F336" s="487">
        <f t="shared" si="15"/>
        <v>12000</v>
      </c>
      <c r="G336" s="487">
        <v>30</v>
      </c>
      <c r="H336" s="732" t="s">
        <v>707</v>
      </c>
      <c r="I336" s="492"/>
      <c r="J336" s="489"/>
      <c r="K336" s="489"/>
      <c r="L336" s="490"/>
      <c r="M336" s="477"/>
      <c r="N336" s="477"/>
      <c r="O336" s="477"/>
      <c r="P336" s="477"/>
      <c r="Q336" s="477"/>
      <c r="R336" s="490"/>
      <c r="S336" s="490"/>
      <c r="U336" s="542"/>
      <c r="V336" s="531"/>
    </row>
    <row r="337" spans="1:22" x14ac:dyDescent="0.2">
      <c r="A337" s="467"/>
      <c r="B337" s="486" t="s">
        <v>708</v>
      </c>
      <c r="C337" s="487" t="s">
        <v>656</v>
      </c>
      <c r="D337" s="492">
        <v>20000</v>
      </c>
      <c r="E337" s="487">
        <v>0.8</v>
      </c>
      <c r="F337" s="487">
        <f t="shared" si="15"/>
        <v>16000</v>
      </c>
      <c r="G337" s="487">
        <v>30</v>
      </c>
      <c r="H337" s="732"/>
      <c r="I337" s="492"/>
      <c r="J337" s="489"/>
      <c r="K337" s="489"/>
      <c r="L337" s="490"/>
      <c r="M337" s="477"/>
      <c r="N337" s="477"/>
      <c r="O337" s="477"/>
      <c r="P337" s="477"/>
      <c r="Q337" s="477"/>
      <c r="R337" s="490"/>
      <c r="S337" s="490"/>
      <c r="U337" s="542"/>
      <c r="V337" s="531"/>
    </row>
    <row r="338" spans="1:22" x14ac:dyDescent="0.2">
      <c r="A338" s="467" t="s">
        <v>709</v>
      </c>
      <c r="B338" s="486" t="s">
        <v>139</v>
      </c>
      <c r="C338" s="487"/>
      <c r="D338" s="492">
        <v>0</v>
      </c>
      <c r="E338" s="487">
        <v>1</v>
      </c>
      <c r="F338" s="487">
        <f t="shared" si="15"/>
        <v>0</v>
      </c>
      <c r="G338" s="492">
        <v>25</v>
      </c>
      <c r="I338" s="492"/>
      <c r="J338" s="489"/>
      <c r="K338" s="489"/>
      <c r="L338" s="490"/>
      <c r="M338" s="477"/>
      <c r="N338" s="477"/>
      <c r="O338" s="477"/>
      <c r="P338" s="477"/>
      <c r="Q338" s="477"/>
      <c r="R338" s="490"/>
      <c r="S338" s="490"/>
      <c r="U338" s="542"/>
      <c r="V338" s="531"/>
    </row>
    <row r="339" spans="1:22" x14ac:dyDescent="0.2">
      <c r="A339" s="467"/>
      <c r="B339" s="486" t="s">
        <v>241</v>
      </c>
      <c r="C339" s="487" t="s">
        <v>459</v>
      </c>
      <c r="D339" s="492">
        <f>175+25</f>
        <v>200</v>
      </c>
      <c r="E339" s="487">
        <v>1</v>
      </c>
      <c r="F339" s="487">
        <f t="shared" si="15"/>
        <v>200</v>
      </c>
      <c r="G339" s="492">
        <v>25</v>
      </c>
      <c r="H339" s="452" t="s">
        <v>710</v>
      </c>
      <c r="I339" s="492">
        <f>80*2</f>
        <v>160</v>
      </c>
      <c r="J339" s="489"/>
      <c r="K339" s="489"/>
      <c r="L339" s="490"/>
      <c r="M339" s="477"/>
      <c r="N339" s="477"/>
      <c r="O339" s="477"/>
      <c r="P339" s="477"/>
      <c r="Q339" s="477"/>
      <c r="R339" s="490"/>
      <c r="S339" s="490"/>
      <c r="U339" s="542"/>
      <c r="V339" s="531"/>
    </row>
    <row r="340" spans="1:22" x14ac:dyDescent="0.2">
      <c r="A340" s="467"/>
      <c r="B340" s="486" t="s">
        <v>242</v>
      </c>
      <c r="C340" s="487" t="s">
        <v>711</v>
      </c>
      <c r="D340" s="492">
        <v>800</v>
      </c>
      <c r="E340" s="487">
        <v>1</v>
      </c>
      <c r="F340" s="487">
        <f t="shared" si="15"/>
        <v>800</v>
      </c>
      <c r="G340" s="492">
        <v>25</v>
      </c>
      <c r="H340" s="452" t="s">
        <v>712</v>
      </c>
      <c r="I340" s="492">
        <v>2000</v>
      </c>
      <c r="J340" s="489"/>
      <c r="K340" s="489"/>
      <c r="L340" s="490"/>
      <c r="M340" s="477"/>
      <c r="N340" s="477"/>
      <c r="O340" s="477"/>
      <c r="P340" s="477"/>
      <c r="Q340" s="477"/>
      <c r="R340" s="490"/>
      <c r="S340" s="490"/>
      <c r="U340" s="542"/>
      <c r="V340" s="531"/>
    </row>
    <row r="341" spans="1:22" x14ac:dyDescent="0.2">
      <c r="A341" s="467"/>
      <c r="B341" s="486"/>
      <c r="C341" s="487"/>
      <c r="D341" s="487"/>
      <c r="E341" s="487"/>
      <c r="F341" s="487"/>
      <c r="G341" s="549"/>
      <c r="T341" s="561"/>
      <c r="U341" s="562"/>
      <c r="V341" s="561"/>
    </row>
    <row r="342" spans="1:22" ht="27.75" customHeight="1" x14ac:dyDescent="0.2">
      <c r="A342" s="563" t="s">
        <v>713</v>
      </c>
      <c r="B342" s="564"/>
      <c r="C342" s="565"/>
      <c r="D342" s="565"/>
      <c r="E342" s="565"/>
      <c r="F342" s="565"/>
      <c r="G342" s="565"/>
      <c r="H342" s="566"/>
      <c r="I342" s="566"/>
      <c r="J342" s="567"/>
      <c r="K342" s="567"/>
      <c r="T342" s="561"/>
      <c r="U342" s="561"/>
      <c r="V342" s="561"/>
    </row>
    <row r="343" spans="1:22" customFormat="1" ht="16.5" customHeight="1" x14ac:dyDescent="0.2">
      <c r="A343" s="568" t="s">
        <v>247</v>
      </c>
      <c r="B343" s="569"/>
      <c r="C343" s="570"/>
      <c r="D343" s="570"/>
      <c r="E343" s="570"/>
      <c r="F343" s="570"/>
      <c r="G343" s="571"/>
      <c r="H343" s="572"/>
      <c r="I343" s="572"/>
      <c r="J343" s="573"/>
      <c r="K343" s="573"/>
      <c r="L343" s="454"/>
      <c r="M343" s="455"/>
      <c r="N343" s="455"/>
      <c r="O343" s="455"/>
      <c r="P343" s="455"/>
      <c r="Q343" s="455"/>
      <c r="R343" s="454"/>
      <c r="S343" s="454"/>
      <c r="T343" s="456"/>
      <c r="U343" s="456"/>
      <c r="V343" s="456"/>
    </row>
    <row r="344" spans="1:22" x14ac:dyDescent="0.2">
      <c r="A344" s="467" t="s">
        <v>251</v>
      </c>
      <c r="B344" s="486" t="s">
        <v>714</v>
      </c>
      <c r="C344" s="487" t="s">
        <v>715</v>
      </c>
      <c r="D344" s="487">
        <v>44</v>
      </c>
      <c r="E344" s="487">
        <v>0.8</v>
      </c>
      <c r="F344" s="487">
        <f t="shared" ref="F344:F349" si="17">D344*E344</f>
        <v>35.200000000000003</v>
      </c>
      <c r="G344" s="549"/>
    </row>
    <row r="345" spans="1:22" x14ac:dyDescent="0.2">
      <c r="A345" s="467" t="s">
        <v>252</v>
      </c>
      <c r="B345" s="486" t="s">
        <v>714</v>
      </c>
      <c r="C345" s="487" t="s">
        <v>715</v>
      </c>
      <c r="D345" s="487">
        <v>95</v>
      </c>
      <c r="E345" s="487">
        <v>0.8</v>
      </c>
      <c r="F345" s="487">
        <f t="shared" si="17"/>
        <v>76</v>
      </c>
      <c r="G345" s="549"/>
    </row>
    <row r="346" spans="1:22" x14ac:dyDescent="0.2">
      <c r="A346" s="467" t="s">
        <v>253</v>
      </c>
      <c r="B346" s="486" t="s">
        <v>714</v>
      </c>
      <c r="C346" s="487" t="s">
        <v>715</v>
      </c>
      <c r="D346" s="487">
        <v>22</v>
      </c>
      <c r="E346" s="487">
        <v>0.8</v>
      </c>
      <c r="F346" s="487">
        <f t="shared" si="17"/>
        <v>17.600000000000001</v>
      </c>
      <c r="G346" s="549"/>
    </row>
    <row r="347" spans="1:22" x14ac:dyDescent="0.2">
      <c r="A347" s="467" t="s">
        <v>254</v>
      </c>
      <c r="B347" s="486" t="s">
        <v>714</v>
      </c>
      <c r="C347" s="487" t="s">
        <v>715</v>
      </c>
      <c r="D347" s="487">
        <v>100</v>
      </c>
      <c r="E347" s="487">
        <v>0.8</v>
      </c>
      <c r="F347" s="487">
        <f t="shared" si="17"/>
        <v>80</v>
      </c>
      <c r="G347" s="549"/>
    </row>
    <row r="348" spans="1:22" x14ac:dyDescent="0.2">
      <c r="A348" s="467" t="s">
        <v>255</v>
      </c>
      <c r="B348" s="486" t="s">
        <v>714</v>
      </c>
      <c r="C348" s="487" t="s">
        <v>715</v>
      </c>
      <c r="D348" s="487">
        <v>250</v>
      </c>
      <c r="E348" s="487">
        <v>0.8</v>
      </c>
      <c r="F348" s="487">
        <f t="shared" si="17"/>
        <v>200</v>
      </c>
      <c r="G348" s="549"/>
    </row>
    <row r="349" spans="1:22" x14ac:dyDescent="0.2">
      <c r="A349" s="467" t="s">
        <v>256</v>
      </c>
      <c r="B349" s="486" t="s">
        <v>714</v>
      </c>
      <c r="C349" s="487" t="s">
        <v>715</v>
      </c>
      <c r="D349" s="493">
        <v>150</v>
      </c>
      <c r="E349" s="487">
        <v>0.8</v>
      </c>
      <c r="F349" s="487">
        <f t="shared" si="17"/>
        <v>120</v>
      </c>
      <c r="G349" s="549"/>
    </row>
    <row r="350" spans="1:22" x14ac:dyDescent="0.2">
      <c r="A350" s="467" t="s">
        <v>172</v>
      </c>
      <c r="B350" s="486" t="s">
        <v>494</v>
      </c>
      <c r="C350" s="487" t="s">
        <v>495</v>
      </c>
      <c r="D350" s="509">
        <v>0.45</v>
      </c>
      <c r="E350" s="487"/>
      <c r="F350" s="487"/>
      <c r="G350" s="487"/>
    </row>
    <row r="351" spans="1:22" ht="16.5" customHeight="1" x14ac:dyDescent="0.2">
      <c r="A351" s="568" t="s">
        <v>261</v>
      </c>
      <c r="B351" s="569"/>
      <c r="C351" s="570"/>
      <c r="D351" s="570"/>
      <c r="E351" s="570"/>
      <c r="F351" s="570"/>
      <c r="G351" s="571"/>
      <c r="H351" s="572" t="s">
        <v>716</v>
      </c>
      <c r="I351" s="572"/>
      <c r="J351" s="572"/>
      <c r="K351" s="572"/>
      <c r="L351" s="490"/>
      <c r="M351" s="477"/>
      <c r="N351" s="477"/>
      <c r="O351" s="477"/>
      <c r="P351" s="477"/>
      <c r="Q351" s="477"/>
      <c r="R351" s="490"/>
      <c r="S351" s="490"/>
    </row>
    <row r="352" spans="1:22" x14ac:dyDescent="0.2">
      <c r="A352" s="467" t="s">
        <v>263</v>
      </c>
      <c r="B352" s="486" t="s">
        <v>139</v>
      </c>
      <c r="C352" s="487"/>
      <c r="D352" s="487">
        <f>D354</f>
        <v>1</v>
      </c>
      <c r="E352" s="487">
        <v>1</v>
      </c>
      <c r="F352" s="487">
        <f>D352*E352</f>
        <v>1</v>
      </c>
      <c r="G352" s="549"/>
      <c r="J352" s="452"/>
      <c r="K352" s="452"/>
      <c r="L352" s="490"/>
      <c r="M352" s="477"/>
      <c r="N352" s="477"/>
      <c r="O352" s="477"/>
      <c r="P352" s="477"/>
      <c r="Q352" s="477"/>
      <c r="R352" s="490"/>
      <c r="S352" s="490"/>
    </row>
    <row r="353" spans="1:19" x14ac:dyDescent="0.2">
      <c r="A353" s="467"/>
      <c r="B353" s="486" t="s">
        <v>717</v>
      </c>
      <c r="C353" s="487" t="s">
        <v>478</v>
      </c>
      <c r="D353" s="493">
        <v>1.4</v>
      </c>
      <c r="E353" s="487">
        <v>1</v>
      </c>
      <c r="F353" s="487">
        <f>D353*E353</f>
        <v>1.4</v>
      </c>
      <c r="G353" s="549"/>
      <c r="I353" s="574" t="s">
        <v>718</v>
      </c>
      <c r="J353" s="575" t="s">
        <v>719</v>
      </c>
      <c r="K353" s="575" t="s">
        <v>720</v>
      </c>
      <c r="L353" s="575" t="s">
        <v>721</v>
      </c>
      <c r="M353" s="576" t="s">
        <v>722</v>
      </c>
      <c r="N353" s="577" t="s">
        <v>408</v>
      </c>
      <c r="O353" s="477"/>
      <c r="P353" s="477"/>
      <c r="Q353" s="477"/>
      <c r="R353" s="490"/>
      <c r="S353" s="490"/>
    </row>
    <row r="354" spans="1:19" x14ac:dyDescent="0.2">
      <c r="A354" s="467"/>
      <c r="B354" s="486" t="s">
        <v>723</v>
      </c>
      <c r="C354" s="487" t="s">
        <v>478</v>
      </c>
      <c r="D354" s="487">
        <v>1</v>
      </c>
      <c r="E354" s="487">
        <v>1</v>
      </c>
      <c r="F354" s="487">
        <f>D354*E354</f>
        <v>1</v>
      </c>
      <c r="G354" s="549"/>
      <c r="H354" s="578" t="s">
        <v>724</v>
      </c>
      <c r="I354" s="499">
        <f>PROJET!$G$14</f>
        <v>0</v>
      </c>
      <c r="J354" s="475">
        <f>PROJET!$G$15</f>
        <v>0</v>
      </c>
      <c r="K354" s="475">
        <f>IF(PROJET!G19=0,1,PROJET!$G$16)</f>
        <v>1</v>
      </c>
      <c r="L354" s="490">
        <f>PROJET!$G$17</f>
        <v>0</v>
      </c>
      <c r="M354" s="490">
        <f>PROJET!$G$18</f>
        <v>0</v>
      </c>
      <c r="N354" s="502">
        <f>SUM(I354:M354)</f>
        <v>1</v>
      </c>
      <c r="O354" s="477"/>
      <c r="P354" s="477"/>
      <c r="Q354" s="477"/>
      <c r="R354" s="490"/>
      <c r="S354" s="490"/>
    </row>
    <row r="355" spans="1:19" x14ac:dyDescent="0.2">
      <c r="A355" s="467"/>
      <c r="B355" s="486" t="s">
        <v>725</v>
      </c>
      <c r="C355" s="487" t="s">
        <v>478</v>
      </c>
      <c r="D355" s="493">
        <v>0.7</v>
      </c>
      <c r="E355" s="487">
        <v>1</v>
      </c>
      <c r="F355" s="487">
        <f>D355*E355</f>
        <v>0.7</v>
      </c>
      <c r="G355" s="549"/>
      <c r="H355" s="578" t="s">
        <v>726</v>
      </c>
      <c r="I355" s="579">
        <f>PROJET!$H$14</f>
        <v>0</v>
      </c>
      <c r="J355" s="580">
        <f>PROJET!$H$15</f>
        <v>0</v>
      </c>
      <c r="K355" s="580">
        <f>IF(PROJET!G19=0,PROJET!K16,PROJET!$H$16)</f>
        <v>72.7</v>
      </c>
      <c r="L355" s="506">
        <f>PROJET!$H$17</f>
        <v>0</v>
      </c>
      <c r="M355" s="506">
        <f>PROJET!$H$18</f>
        <v>0</v>
      </c>
      <c r="N355" s="507">
        <f>SUM(I355:M355)</f>
        <v>72.7</v>
      </c>
      <c r="O355" s="477"/>
      <c r="P355" s="477"/>
      <c r="Q355" s="477"/>
      <c r="R355" s="490"/>
      <c r="S355" s="490"/>
    </row>
    <row r="356" spans="1:19" x14ac:dyDescent="0.2">
      <c r="A356" s="485" t="s">
        <v>12</v>
      </c>
      <c r="B356" s="468"/>
      <c r="C356" s="487"/>
      <c r="D356" s="487"/>
      <c r="E356" s="487"/>
      <c r="F356" s="487"/>
      <c r="G356" s="549"/>
      <c r="H356" s="578"/>
      <c r="I356" s="475"/>
      <c r="J356" s="475"/>
      <c r="K356" s="475" t="s">
        <v>727</v>
      </c>
      <c r="L356" s="490"/>
      <c r="M356" s="477"/>
      <c r="N356" s="477"/>
      <c r="O356" s="477"/>
      <c r="P356" s="477"/>
      <c r="Q356" s="477"/>
      <c r="R356" s="490"/>
      <c r="S356" s="490"/>
    </row>
    <row r="357" spans="1:19" x14ac:dyDescent="0.2">
      <c r="A357" s="467" t="s">
        <v>265</v>
      </c>
      <c r="B357" s="486" t="s">
        <v>139</v>
      </c>
      <c r="C357" s="487"/>
      <c r="D357" s="495">
        <v>8</v>
      </c>
      <c r="E357" s="487">
        <v>1.2</v>
      </c>
      <c r="F357" s="581">
        <f t="shared" ref="F357:F369" si="18">D357*E357</f>
        <v>9.6</v>
      </c>
      <c r="G357" s="549"/>
      <c r="J357" s="452"/>
      <c r="K357" s="452"/>
      <c r="L357" s="490"/>
      <c r="M357" s="477"/>
      <c r="N357" s="477"/>
      <c r="O357" s="477"/>
      <c r="P357" s="477"/>
      <c r="Q357" s="477"/>
      <c r="R357" s="490"/>
      <c r="S357" s="490"/>
    </row>
    <row r="358" spans="1:19" x14ac:dyDescent="0.2">
      <c r="A358" s="467"/>
      <c r="B358" s="486" t="s">
        <v>728</v>
      </c>
      <c r="C358" s="487" t="s">
        <v>715</v>
      </c>
      <c r="D358" s="582">
        <v>10</v>
      </c>
      <c r="E358" s="487">
        <v>1.2</v>
      </c>
      <c r="F358" s="581">
        <f t="shared" si="18"/>
        <v>12</v>
      </c>
      <c r="G358" s="545"/>
      <c r="I358" s="475"/>
      <c r="J358" s="475"/>
      <c r="K358" s="475"/>
      <c r="L358" s="490"/>
      <c r="M358" s="490"/>
      <c r="N358" s="477"/>
      <c r="O358" s="477"/>
      <c r="P358" s="477"/>
      <c r="Q358" s="477"/>
      <c r="R358" s="490"/>
      <c r="S358" s="490"/>
    </row>
    <row r="359" spans="1:19" x14ac:dyDescent="0.2">
      <c r="A359" s="467"/>
      <c r="B359" s="486" t="s">
        <v>729</v>
      </c>
      <c r="C359" s="487" t="s">
        <v>715</v>
      </c>
      <c r="D359" s="583">
        <v>5</v>
      </c>
      <c r="E359" s="487">
        <v>1.2</v>
      </c>
      <c r="F359" s="581">
        <f t="shared" si="18"/>
        <v>6</v>
      </c>
      <c r="G359" s="545"/>
      <c r="H359" s="578" t="s">
        <v>730</v>
      </c>
      <c r="I359" s="475">
        <v>211.75745283018901</v>
      </c>
      <c r="J359" s="475">
        <v>300.83880849056601</v>
      </c>
      <c r="K359" s="475">
        <v>387.55379341664599</v>
      </c>
      <c r="L359" s="490">
        <v>449.70788710691801</v>
      </c>
      <c r="M359" s="490">
        <v>516.81141509433996</v>
      </c>
      <c r="N359" s="477"/>
      <c r="O359" s="477"/>
      <c r="P359" s="477"/>
      <c r="Q359" s="477"/>
      <c r="R359" s="490"/>
      <c r="S359" s="490"/>
    </row>
    <row r="360" spans="1:19" x14ac:dyDescent="0.2">
      <c r="A360" s="467"/>
      <c r="B360" s="486" t="s">
        <v>731</v>
      </c>
      <c r="C360" s="487" t="s">
        <v>715</v>
      </c>
      <c r="D360" s="582">
        <v>6</v>
      </c>
      <c r="E360" s="487">
        <v>1.2</v>
      </c>
      <c r="F360" s="581">
        <f t="shared" si="18"/>
        <v>7.1999999999999993</v>
      </c>
      <c r="G360" s="545"/>
      <c r="J360" s="452"/>
      <c r="K360" s="452"/>
      <c r="L360" s="490"/>
      <c r="M360" s="477"/>
      <c r="N360" s="477"/>
      <c r="O360" s="477"/>
      <c r="P360" s="477"/>
      <c r="Q360" s="477"/>
      <c r="R360" s="490"/>
      <c r="S360" s="490"/>
    </row>
    <row r="361" spans="1:19" x14ac:dyDescent="0.2">
      <c r="A361" s="467"/>
      <c r="B361" s="486" t="s">
        <v>564</v>
      </c>
      <c r="C361" s="487" t="s">
        <v>715</v>
      </c>
      <c r="D361" s="582">
        <v>1</v>
      </c>
      <c r="E361" s="487">
        <v>1.2</v>
      </c>
      <c r="F361" s="581">
        <f t="shared" si="18"/>
        <v>1.2</v>
      </c>
      <c r="G361" s="545"/>
      <c r="H361" s="452" t="s">
        <v>732</v>
      </c>
      <c r="J361" s="452"/>
      <c r="K361" s="452"/>
      <c r="L361" s="490"/>
      <c r="M361" s="477"/>
      <c r="N361" s="477"/>
      <c r="O361" s="477"/>
      <c r="P361" s="477"/>
      <c r="Q361" s="477"/>
      <c r="R361" s="490"/>
      <c r="S361" s="490"/>
    </row>
    <row r="362" spans="1:19" x14ac:dyDescent="0.2">
      <c r="A362" s="467" t="s">
        <v>266</v>
      </c>
      <c r="B362" s="486" t="s">
        <v>139</v>
      </c>
      <c r="C362" s="487"/>
      <c r="D362" s="487">
        <f>D364</f>
        <v>1</v>
      </c>
      <c r="E362" s="487">
        <v>1</v>
      </c>
      <c r="F362" s="487">
        <f t="shared" si="18"/>
        <v>1</v>
      </c>
      <c r="G362" s="549"/>
      <c r="J362" s="452"/>
      <c r="K362" s="452"/>
      <c r="L362" s="490"/>
      <c r="M362" s="477"/>
      <c r="N362" s="477"/>
      <c r="O362" s="477"/>
      <c r="P362" s="477"/>
      <c r="Q362" s="477"/>
      <c r="R362" s="490"/>
      <c r="S362" s="490"/>
    </row>
    <row r="363" spans="1:19" x14ac:dyDescent="0.2">
      <c r="A363" s="467"/>
      <c r="B363" s="486" t="s">
        <v>733</v>
      </c>
      <c r="C363" s="487" t="s">
        <v>478</v>
      </c>
      <c r="D363" s="487">
        <v>1.25</v>
      </c>
      <c r="E363" s="487">
        <v>1</v>
      </c>
      <c r="F363" s="487">
        <f t="shared" si="18"/>
        <v>1.25</v>
      </c>
      <c r="G363" s="549"/>
      <c r="J363" s="452"/>
      <c r="K363" s="452"/>
      <c r="L363" s="490"/>
      <c r="M363" s="477"/>
      <c r="N363" s="477"/>
      <c r="O363" s="477"/>
      <c r="P363" s="477"/>
      <c r="Q363" s="477"/>
      <c r="R363" s="490"/>
      <c r="S363" s="490"/>
    </row>
    <row r="364" spans="1:19" x14ac:dyDescent="0.2">
      <c r="A364" s="467"/>
      <c r="B364" s="486" t="s">
        <v>734</v>
      </c>
      <c r="C364" s="487" t="s">
        <v>478</v>
      </c>
      <c r="D364" s="487">
        <v>1</v>
      </c>
      <c r="E364" s="487">
        <v>1</v>
      </c>
      <c r="F364" s="487">
        <f t="shared" si="18"/>
        <v>1</v>
      </c>
      <c r="G364" s="549"/>
      <c r="J364" s="452"/>
      <c r="K364" s="452"/>
      <c r="L364" s="490"/>
      <c r="M364" s="477"/>
      <c r="N364" s="477"/>
      <c r="O364" s="477"/>
      <c r="P364" s="477"/>
      <c r="Q364" s="477"/>
      <c r="R364" s="490"/>
      <c r="S364" s="490"/>
    </row>
    <row r="365" spans="1:19" x14ac:dyDescent="0.2">
      <c r="A365" s="467"/>
      <c r="B365" s="486" t="s">
        <v>735</v>
      </c>
      <c r="C365" s="487" t="s">
        <v>478</v>
      </c>
      <c r="D365" s="487">
        <v>0.8</v>
      </c>
      <c r="E365" s="487">
        <v>1</v>
      </c>
      <c r="F365" s="487">
        <f t="shared" si="18"/>
        <v>0.8</v>
      </c>
      <c r="G365" s="549"/>
      <c r="J365" s="452"/>
      <c r="K365" s="452"/>
      <c r="L365" s="490"/>
      <c r="M365" s="477"/>
      <c r="N365" s="477"/>
      <c r="O365" s="477"/>
      <c r="P365" s="477"/>
      <c r="Q365" s="477"/>
      <c r="R365" s="490"/>
      <c r="S365" s="490"/>
    </row>
    <row r="366" spans="1:19" x14ac:dyDescent="0.2">
      <c r="A366" s="467" t="s">
        <v>267</v>
      </c>
      <c r="B366" s="486" t="s">
        <v>139</v>
      </c>
      <c r="C366" s="487"/>
      <c r="D366" s="487">
        <f>D368</f>
        <v>1</v>
      </c>
      <c r="E366" s="487">
        <v>1</v>
      </c>
      <c r="F366" s="487">
        <f t="shared" si="18"/>
        <v>1</v>
      </c>
      <c r="G366" s="549"/>
      <c r="J366" s="452"/>
      <c r="K366" s="452"/>
      <c r="L366" s="490"/>
      <c r="M366" s="477"/>
      <c r="N366" s="477"/>
      <c r="O366" s="477"/>
      <c r="P366" s="477"/>
      <c r="Q366" s="477"/>
      <c r="R366" s="490"/>
      <c r="S366" s="490"/>
    </row>
    <row r="367" spans="1:19" x14ac:dyDescent="0.2">
      <c r="A367" s="467"/>
      <c r="B367" s="486" t="s">
        <v>736</v>
      </c>
      <c r="C367" s="487" t="s">
        <v>478</v>
      </c>
      <c r="D367" s="487">
        <v>0.5</v>
      </c>
      <c r="E367" s="487">
        <v>1</v>
      </c>
      <c r="F367" s="487">
        <f t="shared" si="18"/>
        <v>0.5</v>
      </c>
      <c r="G367" s="549"/>
      <c r="J367" s="452"/>
      <c r="K367" s="452"/>
      <c r="L367" s="490"/>
      <c r="M367" s="477"/>
      <c r="N367" s="477"/>
      <c r="O367" s="477"/>
      <c r="P367" s="477"/>
      <c r="Q367" s="477"/>
      <c r="R367" s="490"/>
      <c r="S367" s="490"/>
    </row>
    <row r="368" spans="1:19" x14ac:dyDescent="0.2">
      <c r="A368" s="467"/>
      <c r="B368" s="486" t="s">
        <v>737</v>
      </c>
      <c r="C368" s="487" t="s">
        <v>478</v>
      </c>
      <c r="D368" s="487">
        <v>1</v>
      </c>
      <c r="E368" s="487">
        <v>1</v>
      </c>
      <c r="F368" s="487">
        <f t="shared" si="18"/>
        <v>1</v>
      </c>
      <c r="G368" s="549"/>
      <c r="J368" s="452"/>
      <c r="K368" s="452"/>
      <c r="L368" s="490"/>
      <c r="M368" s="477"/>
      <c r="N368" s="477"/>
      <c r="O368" s="477"/>
      <c r="P368" s="477"/>
      <c r="Q368" s="477"/>
      <c r="R368" s="490"/>
      <c r="S368" s="490"/>
    </row>
    <row r="369" spans="1:19" x14ac:dyDescent="0.2">
      <c r="A369" s="467"/>
      <c r="B369" s="486" t="s">
        <v>738</v>
      </c>
      <c r="C369" s="487" t="s">
        <v>478</v>
      </c>
      <c r="D369" s="487">
        <v>1.5</v>
      </c>
      <c r="E369" s="487">
        <v>1</v>
      </c>
      <c r="F369" s="487">
        <f t="shared" si="18"/>
        <v>1.5</v>
      </c>
      <c r="G369" s="549"/>
      <c r="J369" s="452"/>
      <c r="K369" s="452"/>
      <c r="L369" s="490"/>
      <c r="M369" s="477"/>
      <c r="N369" s="477"/>
      <c r="O369" s="477"/>
      <c r="P369" s="477"/>
      <c r="Q369" s="477"/>
      <c r="R369" s="490"/>
      <c r="S369" s="490"/>
    </row>
    <row r="370" spans="1:19" x14ac:dyDescent="0.2">
      <c r="A370" s="467" t="s">
        <v>172</v>
      </c>
      <c r="B370" s="486" t="s">
        <v>494</v>
      </c>
      <c r="C370" s="487" t="s">
        <v>495</v>
      </c>
      <c r="D370" s="509">
        <v>0.5</v>
      </c>
      <c r="E370" s="487"/>
      <c r="F370" s="487"/>
      <c r="G370" s="487"/>
      <c r="J370" s="452"/>
      <c r="K370" s="452"/>
      <c r="L370" s="490"/>
      <c r="M370" s="477"/>
      <c r="N370" s="477"/>
      <c r="O370" s="477"/>
      <c r="P370" s="477"/>
      <c r="Q370" s="477"/>
      <c r="R370" s="490"/>
      <c r="S370" s="490"/>
    </row>
    <row r="371" spans="1:19" x14ac:dyDescent="0.2">
      <c r="A371" s="485" t="s">
        <v>15</v>
      </c>
      <c r="B371" s="468"/>
      <c r="C371" s="487"/>
      <c r="D371" s="487"/>
      <c r="E371" s="487"/>
      <c r="F371" s="487"/>
      <c r="G371" s="549"/>
      <c r="J371" s="452"/>
      <c r="K371" s="452"/>
      <c r="L371" s="490"/>
      <c r="M371" s="477"/>
      <c r="N371" s="477"/>
      <c r="O371" s="477"/>
      <c r="P371" s="477"/>
      <c r="Q371" s="477"/>
      <c r="R371" s="490"/>
      <c r="S371" s="490"/>
    </row>
    <row r="372" spans="1:19" x14ac:dyDescent="0.2">
      <c r="A372" s="467" t="str">
        <f>'Data-Liste'!F3</f>
        <v>Bureaux</v>
      </c>
      <c r="B372" s="486"/>
      <c r="C372" s="487"/>
      <c r="D372" s="493"/>
      <c r="E372" s="493"/>
      <c r="F372" s="493"/>
      <c r="G372" s="549"/>
      <c r="J372" s="452"/>
      <c r="K372" s="452"/>
      <c r="L372" s="490"/>
      <c r="M372" s="477"/>
      <c r="N372" s="477"/>
      <c r="O372" s="477"/>
      <c r="P372" s="477"/>
      <c r="Q372" s="477"/>
      <c r="R372" s="490"/>
      <c r="S372" s="490"/>
    </row>
    <row r="373" spans="1:19" x14ac:dyDescent="0.2">
      <c r="A373" s="467" t="s">
        <v>265</v>
      </c>
      <c r="B373" s="486" t="s">
        <v>139</v>
      </c>
      <c r="C373" s="487"/>
      <c r="D373" s="492">
        <v>80</v>
      </c>
      <c r="E373" s="487">
        <v>1.2</v>
      </c>
      <c r="F373" s="487">
        <f>D373*E373</f>
        <v>96</v>
      </c>
      <c r="G373" s="549"/>
      <c r="J373" s="452"/>
      <c r="K373" s="452"/>
      <c r="L373" s="490"/>
      <c r="M373" s="477"/>
      <c r="N373" s="477"/>
      <c r="O373" s="477"/>
      <c r="P373" s="477"/>
      <c r="Q373" s="477"/>
      <c r="R373" s="490"/>
      <c r="S373" s="490"/>
    </row>
    <row r="374" spans="1:19" x14ac:dyDescent="0.2">
      <c r="A374" s="467"/>
      <c r="B374" s="486" t="s">
        <v>728</v>
      </c>
      <c r="C374" s="487" t="s">
        <v>715</v>
      </c>
      <c r="D374" s="492">
        <v>100</v>
      </c>
      <c r="E374" s="487">
        <v>1.2</v>
      </c>
      <c r="F374" s="487">
        <f>D374*E374</f>
        <v>120</v>
      </c>
      <c r="G374" s="545"/>
      <c r="J374" s="452"/>
      <c r="K374" s="452"/>
      <c r="L374" s="490"/>
      <c r="M374" s="477"/>
      <c r="N374" s="477"/>
      <c r="O374" s="477"/>
      <c r="P374" s="477"/>
      <c r="Q374" s="477"/>
      <c r="R374" s="490"/>
      <c r="S374" s="490"/>
    </row>
    <row r="375" spans="1:19" x14ac:dyDescent="0.2">
      <c r="A375" s="467"/>
      <c r="B375" s="486" t="s">
        <v>729</v>
      </c>
      <c r="C375" s="487" t="s">
        <v>715</v>
      </c>
      <c r="D375" s="492">
        <v>50</v>
      </c>
      <c r="E375" s="487">
        <v>1.2</v>
      </c>
      <c r="F375" s="487">
        <f>D375*E375</f>
        <v>60</v>
      </c>
      <c r="G375" s="545"/>
      <c r="J375" s="452"/>
      <c r="K375" s="452"/>
      <c r="L375" s="490"/>
      <c r="M375" s="477"/>
      <c r="N375" s="477"/>
      <c r="O375" s="477"/>
      <c r="P375" s="477"/>
      <c r="Q375" s="477"/>
      <c r="R375" s="490"/>
      <c r="S375" s="490"/>
    </row>
    <row r="376" spans="1:19" x14ac:dyDescent="0.2">
      <c r="A376" s="467"/>
      <c r="B376" s="486" t="s">
        <v>731</v>
      </c>
      <c r="C376" s="487" t="s">
        <v>715</v>
      </c>
      <c r="D376" s="492">
        <v>50</v>
      </c>
      <c r="E376" s="487">
        <v>1.2</v>
      </c>
      <c r="F376" s="487">
        <f>D376*E376</f>
        <v>60</v>
      </c>
      <c r="G376" s="545"/>
      <c r="J376" s="452"/>
      <c r="K376" s="452"/>
      <c r="L376" s="490"/>
      <c r="M376" s="477"/>
      <c r="N376" s="477"/>
      <c r="O376" s="477"/>
      <c r="P376" s="477"/>
      <c r="Q376" s="477"/>
      <c r="R376" s="490"/>
      <c r="S376" s="490"/>
    </row>
    <row r="377" spans="1:19" x14ac:dyDescent="0.2">
      <c r="A377" s="467"/>
      <c r="B377" s="486" t="s">
        <v>564</v>
      </c>
      <c r="C377" s="487" t="s">
        <v>715</v>
      </c>
      <c r="D377" s="492">
        <v>10</v>
      </c>
      <c r="E377" s="487">
        <v>1.2</v>
      </c>
      <c r="F377" s="487">
        <f>D377*E377</f>
        <v>12</v>
      </c>
      <c r="G377" s="545"/>
      <c r="J377" s="452"/>
      <c r="K377" s="452"/>
      <c r="L377" s="490"/>
      <c r="M377" s="477"/>
      <c r="N377" s="477"/>
      <c r="O377" s="477"/>
      <c r="P377" s="477"/>
      <c r="Q377" s="477"/>
      <c r="R377" s="490"/>
      <c r="S377" s="490"/>
    </row>
    <row r="378" spans="1:19" x14ac:dyDescent="0.2">
      <c r="A378" s="467" t="str">
        <f>'Data-Liste'!F4</f>
        <v>Enseignement scolaire</v>
      </c>
      <c r="B378" s="486"/>
      <c r="C378" s="487"/>
      <c r="D378" s="487"/>
      <c r="E378" s="487"/>
      <c r="F378" s="487"/>
      <c r="G378" s="549"/>
      <c r="J378" s="452"/>
      <c r="K378" s="452"/>
      <c r="L378" s="490"/>
      <c r="M378" s="477"/>
      <c r="N378" s="477"/>
      <c r="O378" s="477"/>
      <c r="P378" s="477"/>
      <c r="Q378" s="477"/>
      <c r="R378" s="490"/>
      <c r="S378" s="490"/>
    </row>
    <row r="379" spans="1:19" x14ac:dyDescent="0.2">
      <c r="A379" s="558" t="str">
        <f>A373</f>
        <v>type de chauffage</v>
      </c>
      <c r="B379" s="508" t="str">
        <f>B373</f>
        <v>-</v>
      </c>
      <c r="C379" s="550"/>
      <c r="D379" s="495">
        <v>80</v>
      </c>
      <c r="E379" s="487">
        <v>1.2</v>
      </c>
      <c r="F379" s="487">
        <f>D379*E379</f>
        <v>96</v>
      </c>
      <c r="G379" s="549"/>
      <c r="J379" s="452"/>
      <c r="K379" s="452"/>
      <c r="L379" s="490"/>
      <c r="M379" s="477"/>
      <c r="N379" s="477"/>
      <c r="O379" s="477"/>
      <c r="P379" s="477"/>
      <c r="Q379" s="477"/>
      <c r="R379" s="490"/>
      <c r="S379" s="490"/>
    </row>
    <row r="380" spans="1:19" x14ac:dyDescent="0.2">
      <c r="A380" s="467"/>
      <c r="B380" s="508" t="str">
        <f t="shared" ref="B380:C383" si="19">B374</f>
        <v>radiants électriques</v>
      </c>
      <c r="C380" s="560" t="str">
        <f t="shared" si="19"/>
        <v>kWh / m²</v>
      </c>
      <c r="D380" s="492">
        <v>100</v>
      </c>
      <c r="E380" s="487">
        <v>1.2</v>
      </c>
      <c r="F380" s="487">
        <f>D380*E380</f>
        <v>120</v>
      </c>
      <c r="G380" s="545"/>
      <c r="J380" s="452"/>
      <c r="K380" s="452"/>
      <c r="L380" s="490"/>
      <c r="M380" s="477"/>
      <c r="N380" s="477"/>
      <c r="O380" s="477"/>
      <c r="P380" s="477"/>
      <c r="Q380" s="477"/>
      <c r="R380" s="490"/>
      <c r="S380" s="490"/>
    </row>
    <row r="381" spans="1:19" x14ac:dyDescent="0.2">
      <c r="A381" s="467"/>
      <c r="B381" s="508" t="str">
        <f t="shared" si="19"/>
        <v>pompe à chaleur</v>
      </c>
      <c r="C381" s="560" t="str">
        <f t="shared" si="19"/>
        <v>kWh / m²</v>
      </c>
      <c r="D381" s="492">
        <v>50</v>
      </c>
      <c r="E381" s="487">
        <v>1.2</v>
      </c>
      <c r="F381" s="487">
        <f>D381*E381</f>
        <v>60</v>
      </c>
      <c r="G381" s="545"/>
      <c r="J381" s="452"/>
      <c r="K381" s="452"/>
      <c r="L381" s="490"/>
      <c r="M381" s="477"/>
      <c r="N381" s="477"/>
      <c r="O381" s="477"/>
      <c r="P381" s="477"/>
      <c r="Q381" s="477"/>
      <c r="R381" s="490"/>
      <c r="S381" s="490"/>
    </row>
    <row r="382" spans="1:19" x14ac:dyDescent="0.2">
      <c r="A382" s="467"/>
      <c r="B382" s="508" t="str">
        <f t="shared" si="19"/>
        <v>split réversible</v>
      </c>
      <c r="C382" s="560" t="str">
        <f t="shared" si="19"/>
        <v>kWh / m²</v>
      </c>
      <c r="D382" s="495">
        <v>50</v>
      </c>
      <c r="E382" s="487">
        <v>1.2</v>
      </c>
      <c r="F382" s="487">
        <f>D382*E382</f>
        <v>60</v>
      </c>
      <c r="G382" s="545"/>
      <c r="H382" s="494" t="s">
        <v>739</v>
      </c>
      <c r="J382" s="452"/>
      <c r="K382" s="452"/>
      <c r="L382" s="490"/>
      <c r="M382" s="477"/>
      <c r="N382" s="477"/>
      <c r="O382" s="477"/>
      <c r="P382" s="477"/>
      <c r="Q382" s="477"/>
      <c r="R382" s="490"/>
      <c r="S382" s="490"/>
    </row>
    <row r="383" spans="1:19" x14ac:dyDescent="0.2">
      <c r="A383" s="467"/>
      <c r="B383" s="508" t="str">
        <f t="shared" si="19"/>
        <v>bois</v>
      </c>
      <c r="C383" s="560" t="str">
        <f t="shared" si="19"/>
        <v>kWh / m²</v>
      </c>
      <c r="D383" s="492">
        <v>10</v>
      </c>
      <c r="E383" s="487">
        <v>1.2</v>
      </c>
      <c r="F383" s="487">
        <f>D383*E383</f>
        <v>12</v>
      </c>
      <c r="G383" s="545"/>
      <c r="J383" s="452"/>
      <c r="K383" s="452"/>
      <c r="L383" s="490"/>
      <c r="M383" s="477"/>
      <c r="N383" s="477"/>
      <c r="O383" s="477"/>
      <c r="P383" s="477"/>
      <c r="Q383" s="477"/>
      <c r="R383" s="490"/>
      <c r="S383" s="490"/>
    </row>
    <row r="384" spans="1:19" x14ac:dyDescent="0.2">
      <c r="A384" s="467" t="str">
        <f>'Data-Liste'!F5</f>
        <v>Enseignement supérieur</v>
      </c>
      <c r="B384" s="486"/>
      <c r="C384" s="487"/>
      <c r="D384" s="487"/>
      <c r="E384" s="487"/>
      <c r="F384" s="487"/>
      <c r="G384" s="549"/>
      <c r="J384" s="452"/>
      <c r="K384" s="452"/>
      <c r="L384" s="490"/>
      <c r="M384" s="477"/>
      <c r="N384" s="477"/>
      <c r="O384" s="477"/>
      <c r="P384" s="477"/>
      <c r="Q384" s="477"/>
      <c r="R384" s="490"/>
      <c r="S384" s="490"/>
    </row>
    <row r="385" spans="1:19" x14ac:dyDescent="0.2">
      <c r="A385" s="558" t="str">
        <f>A373</f>
        <v>type de chauffage</v>
      </c>
      <c r="B385" s="508" t="str">
        <f>B373</f>
        <v>-</v>
      </c>
      <c r="C385" s="550"/>
      <c r="D385" s="495">
        <v>80</v>
      </c>
      <c r="E385" s="487">
        <v>1.2</v>
      </c>
      <c r="F385" s="487">
        <f>D385*E385</f>
        <v>96</v>
      </c>
      <c r="G385" s="549"/>
      <c r="J385" s="452"/>
      <c r="K385" s="452"/>
      <c r="L385" s="490"/>
      <c r="M385" s="477"/>
      <c r="N385" s="477"/>
      <c r="O385" s="477"/>
      <c r="P385" s="477"/>
      <c r="Q385" s="477"/>
      <c r="R385" s="490"/>
      <c r="S385" s="490"/>
    </row>
    <row r="386" spans="1:19" x14ac:dyDescent="0.2">
      <c r="A386" s="467"/>
      <c r="B386" s="508" t="str">
        <f t="shared" ref="B386:C389" si="20">B374</f>
        <v>radiants électriques</v>
      </c>
      <c r="C386" s="560" t="str">
        <f t="shared" si="20"/>
        <v>kWh / m²</v>
      </c>
      <c r="D386" s="492">
        <v>100</v>
      </c>
      <c r="E386" s="487">
        <v>1.2</v>
      </c>
      <c r="F386" s="487">
        <f>D386*E386</f>
        <v>120</v>
      </c>
      <c r="G386" s="545"/>
      <c r="J386" s="452"/>
      <c r="K386" s="452"/>
      <c r="L386" s="490"/>
      <c r="M386" s="477"/>
      <c r="N386" s="477"/>
      <c r="O386" s="477"/>
      <c r="P386" s="477"/>
      <c r="Q386" s="477"/>
      <c r="R386" s="490"/>
      <c r="S386" s="490"/>
    </row>
    <row r="387" spans="1:19" x14ac:dyDescent="0.2">
      <c r="A387" s="467"/>
      <c r="B387" s="508" t="str">
        <f t="shared" si="20"/>
        <v>pompe à chaleur</v>
      </c>
      <c r="C387" s="560" t="str">
        <f t="shared" si="20"/>
        <v>kWh / m²</v>
      </c>
      <c r="D387" s="492">
        <v>50</v>
      </c>
      <c r="E387" s="487">
        <v>1.2</v>
      </c>
      <c r="F387" s="487">
        <f>D387*E387</f>
        <v>60</v>
      </c>
      <c r="G387" s="545"/>
      <c r="J387" s="452"/>
      <c r="K387" s="452"/>
      <c r="L387" s="490"/>
      <c r="M387" s="477"/>
      <c r="N387" s="477"/>
      <c r="O387" s="477"/>
      <c r="P387" s="477"/>
      <c r="Q387" s="477"/>
      <c r="R387" s="490"/>
      <c r="S387" s="490"/>
    </row>
    <row r="388" spans="1:19" x14ac:dyDescent="0.2">
      <c r="A388" s="467"/>
      <c r="B388" s="508" t="str">
        <f t="shared" si="20"/>
        <v>split réversible</v>
      </c>
      <c r="C388" s="560" t="str">
        <f t="shared" si="20"/>
        <v>kWh / m²</v>
      </c>
      <c r="D388" s="492">
        <v>50</v>
      </c>
      <c r="E388" s="487">
        <v>1.2</v>
      </c>
      <c r="F388" s="487">
        <f>D388*E388</f>
        <v>60</v>
      </c>
      <c r="G388" s="545"/>
      <c r="J388" s="452"/>
      <c r="K388" s="452"/>
      <c r="L388" s="490"/>
      <c r="M388" s="477"/>
      <c r="N388" s="477"/>
      <c r="O388" s="477"/>
      <c r="P388" s="477"/>
      <c r="Q388" s="477"/>
      <c r="R388" s="490"/>
      <c r="S388" s="490"/>
    </row>
    <row r="389" spans="1:19" x14ac:dyDescent="0.2">
      <c r="A389" s="467"/>
      <c r="B389" s="508" t="str">
        <f t="shared" si="20"/>
        <v>bois</v>
      </c>
      <c r="C389" s="560" t="str">
        <f t="shared" si="20"/>
        <v>kWh / m²</v>
      </c>
      <c r="D389" s="492">
        <v>10</v>
      </c>
      <c r="E389" s="487">
        <v>1.2</v>
      </c>
      <c r="F389" s="487">
        <f>D389*E389</f>
        <v>12</v>
      </c>
      <c r="G389" s="545"/>
      <c r="J389" s="452"/>
      <c r="K389" s="452"/>
      <c r="L389" s="490"/>
      <c r="M389" s="477"/>
      <c r="N389" s="477"/>
      <c r="O389" s="477"/>
      <c r="P389" s="477"/>
      <c r="Q389" s="477"/>
      <c r="R389" s="490"/>
      <c r="S389" s="490"/>
    </row>
    <row r="390" spans="1:19" x14ac:dyDescent="0.2">
      <c r="A390" s="467" t="str">
        <f>'Data-Liste'!F7</f>
        <v>Inconnu (livré en blanc)</v>
      </c>
      <c r="B390" s="486"/>
      <c r="C390" s="487"/>
      <c r="D390" s="487"/>
      <c r="E390" s="487"/>
      <c r="F390" s="487"/>
      <c r="G390" s="549"/>
      <c r="J390" s="452"/>
      <c r="K390" s="452"/>
      <c r="L390" s="490"/>
      <c r="M390" s="477"/>
      <c r="N390" s="477"/>
      <c r="O390" s="477"/>
      <c r="P390" s="477"/>
      <c r="Q390" s="477"/>
      <c r="R390" s="490"/>
      <c r="S390" s="490"/>
    </row>
    <row r="391" spans="1:19" x14ac:dyDescent="0.2">
      <c r="A391" s="558" t="str">
        <f>A379</f>
        <v>type de chauffage</v>
      </c>
      <c r="B391" s="508" t="str">
        <f>B379</f>
        <v>-</v>
      </c>
      <c r="C391" s="550"/>
      <c r="D391" s="495">
        <v>80</v>
      </c>
      <c r="E391" s="487">
        <v>1.2</v>
      </c>
      <c r="F391" s="487">
        <f t="shared" ref="F391:F403" si="21">D391*E391</f>
        <v>96</v>
      </c>
      <c r="G391" s="549"/>
      <c r="J391" s="452"/>
      <c r="K391" s="452"/>
      <c r="L391" s="490"/>
      <c r="M391" s="477"/>
      <c r="N391" s="477"/>
      <c r="O391" s="477"/>
      <c r="P391" s="477"/>
      <c r="Q391" s="477"/>
      <c r="R391" s="490"/>
      <c r="S391" s="490"/>
    </row>
    <row r="392" spans="1:19" x14ac:dyDescent="0.2">
      <c r="A392" s="467"/>
      <c r="B392" s="508" t="str">
        <f t="shared" ref="B392:C395" si="22">B380</f>
        <v>radiants électriques</v>
      </c>
      <c r="C392" s="560" t="str">
        <f t="shared" si="22"/>
        <v>kWh / m²</v>
      </c>
      <c r="D392" s="492">
        <v>100</v>
      </c>
      <c r="E392" s="487">
        <v>1.2</v>
      </c>
      <c r="F392" s="487">
        <f t="shared" si="21"/>
        <v>120</v>
      </c>
      <c r="G392" s="545"/>
      <c r="J392" s="452"/>
      <c r="K392" s="452"/>
      <c r="L392" s="490"/>
      <c r="M392" s="477"/>
      <c r="N392" s="477"/>
      <c r="O392" s="477"/>
      <c r="P392" s="477"/>
      <c r="Q392" s="477"/>
      <c r="R392" s="490"/>
      <c r="S392" s="490"/>
    </row>
    <row r="393" spans="1:19" x14ac:dyDescent="0.2">
      <c r="A393" s="467"/>
      <c r="B393" s="508" t="str">
        <f t="shared" si="22"/>
        <v>pompe à chaleur</v>
      </c>
      <c r="C393" s="560" t="str">
        <f t="shared" si="22"/>
        <v>kWh / m²</v>
      </c>
      <c r="D393" s="492">
        <v>50</v>
      </c>
      <c r="E393" s="487">
        <v>1.2</v>
      </c>
      <c r="F393" s="487">
        <f t="shared" si="21"/>
        <v>60</v>
      </c>
      <c r="G393" s="545"/>
      <c r="J393" s="452"/>
      <c r="K393" s="452"/>
      <c r="L393" s="490"/>
      <c r="M393" s="477"/>
      <c r="N393" s="477"/>
      <c r="O393" s="477"/>
      <c r="P393" s="477"/>
      <c r="Q393" s="477"/>
      <c r="R393" s="490"/>
      <c r="S393" s="490"/>
    </row>
    <row r="394" spans="1:19" x14ac:dyDescent="0.2">
      <c r="A394" s="467"/>
      <c r="B394" s="508" t="str">
        <f t="shared" si="22"/>
        <v>split réversible</v>
      </c>
      <c r="C394" s="560" t="str">
        <f t="shared" si="22"/>
        <v>kWh / m²</v>
      </c>
      <c r="D394" s="492">
        <v>50</v>
      </c>
      <c r="E394" s="487">
        <v>1.2</v>
      </c>
      <c r="F394" s="487">
        <f t="shared" si="21"/>
        <v>60</v>
      </c>
      <c r="G394" s="545"/>
      <c r="J394" s="452"/>
      <c r="K394" s="452"/>
      <c r="L394" s="490"/>
      <c r="M394" s="477"/>
      <c r="N394" s="477"/>
      <c r="O394" s="477"/>
      <c r="P394" s="477"/>
      <c r="Q394" s="477"/>
      <c r="R394" s="490"/>
      <c r="S394" s="490"/>
    </row>
    <row r="395" spans="1:19" x14ac:dyDescent="0.2">
      <c r="A395" s="467"/>
      <c r="B395" s="508" t="str">
        <f t="shared" si="22"/>
        <v>bois</v>
      </c>
      <c r="C395" s="560" t="str">
        <f t="shared" si="22"/>
        <v>kWh / m²</v>
      </c>
      <c r="D395" s="492">
        <v>10</v>
      </c>
      <c r="E395" s="487">
        <v>1.2</v>
      </c>
      <c r="F395" s="487">
        <f t="shared" si="21"/>
        <v>12</v>
      </c>
      <c r="G395" s="545"/>
      <c r="J395" s="452"/>
      <c r="K395" s="452"/>
      <c r="L395" s="490"/>
      <c r="M395" s="477"/>
      <c r="N395" s="477"/>
      <c r="O395" s="477"/>
      <c r="P395" s="477"/>
      <c r="Q395" s="477"/>
      <c r="R395" s="490"/>
      <c r="S395" s="490"/>
    </row>
    <row r="396" spans="1:19" x14ac:dyDescent="0.2">
      <c r="A396" s="467" t="s">
        <v>266</v>
      </c>
      <c r="B396" s="486" t="s">
        <v>139</v>
      </c>
      <c r="C396" s="487"/>
      <c r="D396" s="487">
        <f>D398</f>
        <v>1</v>
      </c>
      <c r="E396" s="487">
        <v>1</v>
      </c>
      <c r="F396" s="487">
        <f t="shared" si="21"/>
        <v>1</v>
      </c>
      <c r="G396" s="549"/>
      <c r="J396" s="452"/>
      <c r="K396" s="452"/>
      <c r="L396" s="490"/>
      <c r="M396" s="477"/>
      <c r="N396" s="477"/>
      <c r="O396" s="477"/>
      <c r="P396" s="477"/>
      <c r="Q396" s="477"/>
      <c r="R396" s="490"/>
      <c r="S396" s="490"/>
    </row>
    <row r="397" spans="1:19" x14ac:dyDescent="0.2">
      <c r="A397" s="467"/>
      <c r="B397" s="486" t="s">
        <v>733</v>
      </c>
      <c r="C397" s="487" t="s">
        <v>478</v>
      </c>
      <c r="D397" s="487">
        <v>1.25</v>
      </c>
      <c r="E397" s="487">
        <v>1</v>
      </c>
      <c r="F397" s="487">
        <f t="shared" si="21"/>
        <v>1.25</v>
      </c>
      <c r="G397" s="549"/>
      <c r="J397" s="452"/>
      <c r="K397" s="452"/>
      <c r="L397" s="490"/>
      <c r="M397" s="477"/>
      <c r="N397" s="477"/>
      <c r="O397" s="477"/>
      <c r="P397" s="477"/>
      <c r="Q397" s="477"/>
      <c r="R397" s="490"/>
      <c r="S397" s="490"/>
    </row>
    <row r="398" spans="1:19" x14ac:dyDescent="0.2">
      <c r="A398" s="467"/>
      <c r="B398" s="486" t="s">
        <v>734</v>
      </c>
      <c r="C398" s="487" t="s">
        <v>478</v>
      </c>
      <c r="D398" s="487">
        <v>1</v>
      </c>
      <c r="E398" s="487">
        <v>1</v>
      </c>
      <c r="F398" s="487">
        <f t="shared" si="21"/>
        <v>1</v>
      </c>
      <c r="G398" s="549"/>
      <c r="J398" s="452"/>
      <c r="K398" s="452"/>
      <c r="L398" s="490"/>
      <c r="M398" s="477"/>
      <c r="N398" s="477"/>
      <c r="O398" s="477"/>
      <c r="P398" s="477"/>
      <c r="Q398" s="477"/>
      <c r="R398" s="490"/>
      <c r="S398" s="490"/>
    </row>
    <row r="399" spans="1:19" x14ac:dyDescent="0.2">
      <c r="A399" s="467"/>
      <c r="B399" s="486" t="s">
        <v>735</v>
      </c>
      <c r="C399" s="487" t="s">
        <v>478</v>
      </c>
      <c r="D399" s="487">
        <v>0.8</v>
      </c>
      <c r="E399" s="487">
        <v>1</v>
      </c>
      <c r="F399" s="487">
        <f t="shared" si="21"/>
        <v>0.8</v>
      </c>
      <c r="G399" s="549"/>
      <c r="J399" s="452"/>
      <c r="K399" s="452"/>
      <c r="L399" s="490"/>
      <c r="M399" s="477"/>
      <c r="N399" s="477"/>
      <c r="O399" s="477"/>
      <c r="P399" s="477"/>
      <c r="Q399" s="477"/>
      <c r="R399" s="490"/>
      <c r="S399" s="490"/>
    </row>
    <row r="400" spans="1:19" x14ac:dyDescent="0.2">
      <c r="A400" s="467" t="s">
        <v>267</v>
      </c>
      <c r="B400" s="486" t="s">
        <v>139</v>
      </c>
      <c r="C400" s="487"/>
      <c r="D400" s="487">
        <f>D402</f>
        <v>1</v>
      </c>
      <c r="E400" s="487">
        <v>1</v>
      </c>
      <c r="F400" s="487">
        <f t="shared" si="21"/>
        <v>1</v>
      </c>
      <c r="G400" s="549"/>
      <c r="J400" s="452"/>
      <c r="K400" s="452"/>
      <c r="L400" s="490"/>
      <c r="M400" s="477"/>
      <c r="N400" s="477"/>
      <c r="O400" s="477"/>
      <c r="P400" s="477"/>
      <c r="Q400" s="477"/>
      <c r="R400" s="490"/>
      <c r="S400" s="490"/>
    </row>
    <row r="401" spans="1:19" x14ac:dyDescent="0.2">
      <c r="A401" s="467"/>
      <c r="B401" s="486" t="s">
        <v>736</v>
      </c>
      <c r="C401" s="487" t="s">
        <v>478</v>
      </c>
      <c r="D401" s="487">
        <v>0.5</v>
      </c>
      <c r="E401" s="487">
        <v>1</v>
      </c>
      <c r="F401" s="487">
        <f t="shared" si="21"/>
        <v>0.5</v>
      </c>
      <c r="G401" s="549"/>
      <c r="J401" s="452"/>
      <c r="K401" s="452"/>
      <c r="L401" s="490"/>
      <c r="M401" s="477"/>
      <c r="N401" s="477"/>
      <c r="O401" s="477"/>
      <c r="P401" s="477"/>
      <c r="Q401" s="477"/>
      <c r="R401" s="490"/>
      <c r="S401" s="490"/>
    </row>
    <row r="402" spans="1:19" x14ac:dyDescent="0.2">
      <c r="A402" s="467"/>
      <c r="B402" s="486" t="s">
        <v>737</v>
      </c>
      <c r="C402" s="487" t="s">
        <v>478</v>
      </c>
      <c r="D402" s="487">
        <v>1</v>
      </c>
      <c r="E402" s="487">
        <v>1</v>
      </c>
      <c r="F402" s="487">
        <f t="shared" si="21"/>
        <v>1</v>
      </c>
      <c r="G402" s="549"/>
      <c r="J402" s="452"/>
      <c r="K402" s="452"/>
      <c r="L402" s="490"/>
      <c r="M402" s="477"/>
      <c r="N402" s="477"/>
      <c r="O402" s="477"/>
      <c r="P402" s="477"/>
      <c r="Q402" s="477"/>
      <c r="R402" s="490"/>
      <c r="S402" s="490"/>
    </row>
    <row r="403" spans="1:19" x14ac:dyDescent="0.2">
      <c r="A403" s="467"/>
      <c r="B403" s="486" t="s">
        <v>738</v>
      </c>
      <c r="C403" s="487" t="s">
        <v>478</v>
      </c>
      <c r="D403" s="487">
        <v>1.5</v>
      </c>
      <c r="E403" s="487">
        <v>1</v>
      </c>
      <c r="F403" s="487">
        <f t="shared" si="21"/>
        <v>1.5</v>
      </c>
      <c r="G403" s="549"/>
      <c r="J403" s="452"/>
      <c r="K403" s="452"/>
      <c r="L403" s="490"/>
      <c r="M403" s="477"/>
      <c r="N403" s="477"/>
      <c r="O403" s="477"/>
      <c r="P403" s="477"/>
      <c r="Q403" s="477"/>
      <c r="R403" s="490"/>
      <c r="S403" s="490"/>
    </row>
    <row r="404" spans="1:19" x14ac:dyDescent="0.2">
      <c r="A404" s="467" t="s">
        <v>172</v>
      </c>
      <c r="B404" s="486" t="s">
        <v>494</v>
      </c>
      <c r="C404" s="487" t="s">
        <v>495</v>
      </c>
      <c r="D404" s="509">
        <v>0.4</v>
      </c>
      <c r="E404" s="487"/>
      <c r="F404" s="487"/>
      <c r="G404" s="487"/>
      <c r="J404" s="452"/>
      <c r="K404" s="452"/>
      <c r="L404" s="490"/>
      <c r="M404" s="477"/>
      <c r="N404" s="477"/>
      <c r="O404" s="477"/>
      <c r="P404" s="477"/>
      <c r="Q404" s="477"/>
      <c r="R404" s="490"/>
      <c r="S404" s="490"/>
    </row>
    <row r="405" spans="1:19" ht="16.5" customHeight="1" x14ac:dyDescent="0.2">
      <c r="A405" s="568" t="s">
        <v>269</v>
      </c>
      <c r="B405" s="569"/>
      <c r="C405" s="570"/>
      <c r="D405" s="570"/>
      <c r="E405" s="570"/>
      <c r="F405" s="570"/>
      <c r="G405" s="571"/>
      <c r="H405" s="572"/>
      <c r="I405" s="572"/>
      <c r="J405" s="572"/>
      <c r="K405" s="572"/>
      <c r="L405" s="490"/>
      <c r="M405" s="477"/>
      <c r="N405" s="477"/>
      <c r="O405" s="477"/>
      <c r="P405" s="477"/>
      <c r="Q405" s="477"/>
      <c r="R405" s="490"/>
      <c r="S405" s="490"/>
    </row>
    <row r="406" spans="1:19" x14ac:dyDescent="0.2">
      <c r="A406" s="467" t="s">
        <v>263</v>
      </c>
      <c r="B406" s="486" t="s">
        <v>139</v>
      </c>
      <c r="C406" s="487"/>
      <c r="D406" s="487">
        <v>1</v>
      </c>
      <c r="E406" s="487">
        <v>1</v>
      </c>
      <c r="F406" s="487">
        <f>D406*E406</f>
        <v>1</v>
      </c>
      <c r="G406" s="549"/>
      <c r="J406" s="452"/>
      <c r="K406" s="452"/>
      <c r="L406" s="490"/>
      <c r="M406" s="477"/>
      <c r="N406" s="477"/>
      <c r="O406" s="477"/>
      <c r="P406" s="477"/>
      <c r="Q406" s="477"/>
      <c r="R406" s="490"/>
      <c r="S406" s="490"/>
    </row>
    <row r="407" spans="1:19" x14ac:dyDescent="0.2">
      <c r="A407" s="467"/>
      <c r="B407" s="486" t="s">
        <v>717</v>
      </c>
      <c r="C407" s="487" t="s">
        <v>478</v>
      </c>
      <c r="D407" s="493">
        <v>1.4</v>
      </c>
      <c r="E407" s="487">
        <v>1</v>
      </c>
      <c r="F407" s="487">
        <f>D407*E407</f>
        <v>1.4</v>
      </c>
      <c r="G407" s="549"/>
      <c r="J407" s="452"/>
      <c r="K407" s="452"/>
      <c r="L407" s="490"/>
      <c r="M407" s="477"/>
      <c r="N407" s="477"/>
      <c r="O407" s="477"/>
      <c r="P407" s="477"/>
      <c r="Q407" s="477"/>
      <c r="R407" s="490"/>
      <c r="S407" s="490"/>
    </row>
    <row r="408" spans="1:19" x14ac:dyDescent="0.2">
      <c r="A408" s="467"/>
      <c r="B408" s="486" t="s">
        <v>723</v>
      </c>
      <c r="C408" s="487" t="s">
        <v>478</v>
      </c>
      <c r="D408" s="487">
        <v>1</v>
      </c>
      <c r="E408" s="487">
        <v>1</v>
      </c>
      <c r="F408" s="487">
        <f>D408*E408</f>
        <v>1</v>
      </c>
      <c r="G408" s="549"/>
      <c r="J408" s="452"/>
      <c r="K408" s="452"/>
      <c r="L408" s="490"/>
      <c r="M408" s="477"/>
      <c r="N408" s="477"/>
      <c r="O408" s="477"/>
      <c r="P408" s="477"/>
      <c r="Q408" s="477"/>
      <c r="R408" s="490"/>
      <c r="S408" s="490"/>
    </row>
    <row r="409" spans="1:19" x14ac:dyDescent="0.2">
      <c r="A409" s="467"/>
      <c r="B409" s="486" t="s">
        <v>725</v>
      </c>
      <c r="C409" s="487" t="s">
        <v>478</v>
      </c>
      <c r="D409" s="493">
        <v>0.7</v>
      </c>
      <c r="E409" s="487">
        <v>1</v>
      </c>
      <c r="F409" s="487">
        <f>D409*E409</f>
        <v>0.7</v>
      </c>
      <c r="G409" s="549"/>
      <c r="J409" s="452"/>
      <c r="K409" s="452"/>
      <c r="L409" s="490"/>
      <c r="M409" s="477"/>
      <c r="N409" s="477"/>
      <c r="O409" s="477"/>
      <c r="P409" s="477"/>
      <c r="Q409" s="477"/>
      <c r="R409" s="490"/>
      <c r="S409" s="490"/>
    </row>
    <row r="410" spans="1:19" x14ac:dyDescent="0.2">
      <c r="A410" s="467" t="s">
        <v>740</v>
      </c>
      <c r="B410" s="486" t="s">
        <v>741</v>
      </c>
      <c r="C410" s="487" t="s">
        <v>742</v>
      </c>
      <c r="D410" s="584">
        <v>0.44</v>
      </c>
      <c r="E410" s="487"/>
      <c r="F410" s="584"/>
      <c r="G410" s="585"/>
      <c r="I410" s="452">
        <v>0.4</v>
      </c>
      <c r="J410" s="452"/>
      <c r="K410" s="452"/>
      <c r="L410" s="490"/>
      <c r="M410" s="477"/>
      <c r="N410" s="477"/>
      <c r="O410" s="477"/>
      <c r="P410" s="477"/>
      <c r="Q410" s="477"/>
      <c r="R410" s="490"/>
      <c r="S410" s="490"/>
    </row>
    <row r="411" spans="1:19" x14ac:dyDescent="0.2">
      <c r="A411" s="467"/>
      <c r="B411" s="486" t="s">
        <v>743</v>
      </c>
      <c r="C411" s="487" t="s">
        <v>744</v>
      </c>
      <c r="D411" s="541">
        <v>0.1</v>
      </c>
      <c r="E411" s="487"/>
      <c r="F411" s="541"/>
      <c r="G411" s="586"/>
      <c r="I411" s="587">
        <v>0.13</v>
      </c>
      <c r="J411" s="587"/>
      <c r="K411" s="587"/>
      <c r="L411" s="490"/>
      <c r="M411" s="477"/>
      <c r="N411" s="477"/>
      <c r="O411" s="477"/>
      <c r="P411" s="477"/>
      <c r="Q411" s="477"/>
      <c r="R411" s="490"/>
      <c r="S411" s="490"/>
    </row>
    <row r="412" spans="1:19" x14ac:dyDescent="0.2">
      <c r="A412" s="467"/>
      <c r="B412" s="486" t="s">
        <v>172</v>
      </c>
      <c r="C412" s="487" t="s">
        <v>745</v>
      </c>
      <c r="D412" s="588">
        <v>1600</v>
      </c>
      <c r="E412" s="589"/>
      <c r="F412" s="590"/>
      <c r="G412" s="591"/>
      <c r="I412" s="475">
        <v>2000</v>
      </c>
      <c r="J412" s="475"/>
      <c r="K412" s="475"/>
      <c r="L412" s="490"/>
      <c r="M412" s="477"/>
      <c r="N412" s="477"/>
      <c r="O412" s="477"/>
      <c r="P412" s="477"/>
      <c r="Q412" s="477"/>
      <c r="R412" s="490"/>
      <c r="S412" s="490"/>
    </row>
    <row r="413" spans="1:19" x14ac:dyDescent="0.2">
      <c r="A413" s="485" t="s">
        <v>12</v>
      </c>
      <c r="B413" s="486"/>
      <c r="C413" s="487"/>
      <c r="D413" s="493"/>
      <c r="E413" s="493"/>
      <c r="F413" s="493"/>
      <c r="G413" s="549"/>
      <c r="J413" s="452"/>
      <c r="K413" s="452"/>
      <c r="L413" s="490"/>
      <c r="M413" s="477"/>
      <c r="N413" s="477"/>
      <c r="O413" s="477"/>
      <c r="P413" s="477"/>
      <c r="Q413" s="477"/>
      <c r="R413" s="490"/>
      <c r="S413" s="490"/>
    </row>
    <row r="414" spans="1:19" x14ac:dyDescent="0.2">
      <c r="A414" s="467" t="s">
        <v>746</v>
      </c>
      <c r="B414" s="486"/>
      <c r="C414" s="487"/>
      <c r="D414" s="493"/>
      <c r="E414" s="493"/>
      <c r="F414" s="493"/>
      <c r="G414" s="549"/>
      <c r="I414" s="592" t="str">
        <f>I$353</f>
        <v>T1</v>
      </c>
      <c r="J414" s="593" t="str">
        <f>J$353</f>
        <v>T2</v>
      </c>
      <c r="K414" s="593" t="str">
        <f>K$353</f>
        <v>T3</v>
      </c>
      <c r="L414" s="593" t="str">
        <f>L$353</f>
        <v>T4</v>
      </c>
      <c r="M414" s="594" t="str">
        <f>M$353</f>
        <v>T5 et +</v>
      </c>
      <c r="N414" s="452"/>
      <c r="O414" s="477"/>
      <c r="P414" s="477"/>
      <c r="Q414" s="477"/>
      <c r="R414" s="490"/>
      <c r="S414" s="490"/>
    </row>
    <row r="415" spans="1:19" x14ac:dyDescent="0.2">
      <c r="A415" s="467"/>
      <c r="B415" s="486" t="s">
        <v>747</v>
      </c>
      <c r="C415" s="487" t="s">
        <v>715</v>
      </c>
      <c r="D415" s="584">
        <v>0</v>
      </c>
      <c r="E415" s="487">
        <v>1.1000000000000001</v>
      </c>
      <c r="F415" s="584">
        <f>D415*E415</f>
        <v>0</v>
      </c>
      <c r="G415" s="549"/>
      <c r="I415" s="513">
        <v>10</v>
      </c>
      <c r="J415" s="494">
        <v>12</v>
      </c>
      <c r="K415" s="494">
        <v>14</v>
      </c>
      <c r="L415" s="595">
        <v>16</v>
      </c>
      <c r="M415" s="596">
        <v>18</v>
      </c>
      <c r="N415" s="477"/>
      <c r="O415" s="477"/>
      <c r="P415" s="477"/>
      <c r="Q415" s="477"/>
      <c r="R415" s="490"/>
      <c r="S415" s="490"/>
    </row>
    <row r="416" spans="1:19" x14ac:dyDescent="0.2">
      <c r="A416" s="467" t="s">
        <v>748</v>
      </c>
      <c r="B416" s="486"/>
      <c r="C416" s="487"/>
      <c r="D416" s="493"/>
      <c r="E416" s="493"/>
      <c r="F416" s="493"/>
      <c r="G416" s="549"/>
      <c r="I416" s="597"/>
      <c r="J416" s="452"/>
      <c r="K416" s="452"/>
      <c r="L416" s="452"/>
      <c r="M416" s="474"/>
      <c r="N416" s="452"/>
      <c r="O416" s="477"/>
      <c r="P416" s="477"/>
      <c r="Q416" s="477"/>
      <c r="R416" s="490"/>
      <c r="S416" s="490"/>
    </row>
    <row r="417" spans="1:19" x14ac:dyDescent="0.2">
      <c r="A417" s="467"/>
      <c r="B417" s="486" t="s">
        <v>747</v>
      </c>
      <c r="C417" s="487" t="s">
        <v>715</v>
      </c>
      <c r="D417" s="584">
        <f>IF(N$355=0,0,SUMPRODUCT(I$354:M$354,I417:M417)/N$355)</f>
        <v>1.7715597153280329</v>
      </c>
      <c r="E417" s="487">
        <v>1.1000000000000001</v>
      </c>
      <c r="F417" s="584">
        <f>D417*E417</f>
        <v>1.9487156868608364</v>
      </c>
      <c r="G417" s="549"/>
      <c r="I417" s="499">
        <v>85.65</v>
      </c>
      <c r="J417" s="475">
        <v>95.047058823529397</v>
      </c>
      <c r="K417" s="475">
        <v>128.792391304348</v>
      </c>
      <c r="L417" s="490">
        <v>132.01704545454501</v>
      </c>
      <c r="M417" s="502">
        <v>150.23636363636399</v>
      </c>
      <c r="N417" s="477"/>
      <c r="O417" s="477"/>
      <c r="P417" s="477"/>
      <c r="Q417" s="477"/>
      <c r="R417" s="490"/>
      <c r="S417" s="490"/>
    </row>
    <row r="418" spans="1:19" x14ac:dyDescent="0.2">
      <c r="A418" s="467" t="s">
        <v>749</v>
      </c>
      <c r="B418" s="486"/>
      <c r="C418" s="487"/>
      <c r="D418" s="584"/>
      <c r="E418" s="487"/>
      <c r="F418" s="584"/>
      <c r="G418" s="549"/>
      <c r="I418" s="597"/>
      <c r="J418" s="452"/>
      <c r="K418" s="452"/>
      <c r="L418" s="490"/>
      <c r="M418" s="598"/>
      <c r="N418" s="477"/>
      <c r="O418" s="477"/>
      <c r="P418" s="477"/>
      <c r="Q418" s="477"/>
      <c r="R418" s="490"/>
      <c r="S418" s="490"/>
    </row>
    <row r="419" spans="1:19" x14ac:dyDescent="0.2">
      <c r="A419" s="467" t="s">
        <v>274</v>
      </c>
      <c r="B419" s="486" t="s">
        <v>139</v>
      </c>
      <c r="C419" s="487"/>
      <c r="D419" s="492">
        <v>0</v>
      </c>
      <c r="E419" s="487">
        <v>1.1000000000000001</v>
      </c>
      <c r="F419" s="492">
        <f>D419*E419</f>
        <v>0</v>
      </c>
      <c r="G419" s="549"/>
      <c r="I419" s="597"/>
      <c r="J419" s="452"/>
      <c r="K419" s="452"/>
      <c r="L419" s="490"/>
      <c r="M419" s="598"/>
      <c r="N419" s="477"/>
      <c r="O419" s="477"/>
      <c r="P419" s="477"/>
      <c r="Q419" s="477"/>
      <c r="R419" s="490"/>
      <c r="S419" s="490"/>
    </row>
    <row r="420" spans="1:19" x14ac:dyDescent="0.2">
      <c r="A420" s="467"/>
      <c r="B420" s="486" t="s">
        <v>750</v>
      </c>
      <c r="C420" s="487" t="s">
        <v>715</v>
      </c>
      <c r="D420" s="492">
        <f>IF(N$355=0,0,SUMPRODUCT(I$354:M$354,I420:M420)/N$355)</f>
        <v>16.053109080464097</v>
      </c>
      <c r="E420" s="487">
        <v>1.1000000000000001</v>
      </c>
      <c r="F420" s="492">
        <f>D420*E420</f>
        <v>17.658419988510509</v>
      </c>
      <c r="G420" s="549"/>
      <c r="I420" s="579">
        <v>637.67630517345594</v>
      </c>
      <c r="J420" s="580">
        <v>905.93165570841404</v>
      </c>
      <c r="K420" s="580">
        <v>1167.06103014974</v>
      </c>
      <c r="L420" s="506">
        <v>1354.2289068222999</v>
      </c>
      <c r="M420" s="507">
        <v>1556.3012741426501</v>
      </c>
      <c r="N420" s="477"/>
      <c r="O420" s="477"/>
      <c r="P420" s="477"/>
      <c r="Q420" s="477"/>
      <c r="R420" s="490"/>
      <c r="S420" s="490"/>
    </row>
    <row r="421" spans="1:19" x14ac:dyDescent="0.2">
      <c r="A421" s="467"/>
      <c r="B421" s="486" t="s">
        <v>751</v>
      </c>
      <c r="C421" s="487" t="s">
        <v>715</v>
      </c>
      <c r="D421" s="492">
        <f>D420*2</f>
        <v>32.106218160928194</v>
      </c>
      <c r="E421" s="487">
        <v>1.1000000000000001</v>
      </c>
      <c r="F421" s="492">
        <f>D421*E421</f>
        <v>35.316839977021019</v>
      </c>
      <c r="G421" s="549"/>
      <c r="J421" s="452"/>
      <c r="K421" s="452"/>
      <c r="L421" s="490"/>
      <c r="M421" s="477"/>
      <c r="N421" s="477"/>
      <c r="O421" s="477"/>
      <c r="P421" s="477"/>
      <c r="Q421" s="477"/>
      <c r="R421" s="490"/>
      <c r="S421" s="490"/>
    </row>
    <row r="422" spans="1:19" x14ac:dyDescent="0.2">
      <c r="A422" s="467"/>
      <c r="B422" s="486" t="s">
        <v>752</v>
      </c>
      <c r="C422" s="487" t="s">
        <v>715</v>
      </c>
      <c r="D422" s="492">
        <f>D421*2</f>
        <v>64.212436321856387</v>
      </c>
      <c r="E422" s="487">
        <v>1.1000000000000001</v>
      </c>
      <c r="F422" s="492">
        <f>D422*E422</f>
        <v>70.633679954042037</v>
      </c>
      <c r="G422" s="549"/>
      <c r="J422" s="452"/>
      <c r="K422" s="452"/>
      <c r="L422" s="490"/>
      <c r="M422" s="477"/>
      <c r="N422" s="477"/>
      <c r="O422" s="477"/>
      <c r="P422" s="477"/>
      <c r="Q422" s="477"/>
      <c r="R422" s="490"/>
      <c r="S422" s="490"/>
    </row>
    <row r="423" spans="1:19" x14ac:dyDescent="0.2">
      <c r="A423" s="467" t="s">
        <v>753</v>
      </c>
      <c r="B423" s="486"/>
      <c r="C423" s="487"/>
      <c r="D423" s="492"/>
      <c r="E423" s="487"/>
      <c r="F423" s="492"/>
      <c r="G423" s="549"/>
      <c r="J423" s="452"/>
      <c r="K423" s="452"/>
      <c r="L423" s="490"/>
      <c r="M423" s="477"/>
      <c r="N423" s="477"/>
      <c r="O423" s="477"/>
      <c r="P423" s="477"/>
      <c r="Q423" s="477"/>
      <c r="R423" s="490"/>
      <c r="S423" s="490"/>
    </row>
    <row r="424" spans="1:19" x14ac:dyDescent="0.2">
      <c r="A424" s="467" t="s">
        <v>274</v>
      </c>
      <c r="B424" s="486" t="s">
        <v>139</v>
      </c>
      <c r="C424" s="487"/>
      <c r="D424" s="492">
        <v>0</v>
      </c>
      <c r="E424" s="487">
        <v>1.1000000000000001</v>
      </c>
      <c r="F424" s="492">
        <f>D424*E424</f>
        <v>0</v>
      </c>
      <c r="G424" s="549"/>
      <c r="J424" s="452"/>
      <c r="K424" s="452"/>
      <c r="L424" s="490"/>
      <c r="M424" s="477"/>
      <c r="N424" s="477"/>
      <c r="O424" s="477"/>
      <c r="P424" s="477"/>
      <c r="Q424" s="477"/>
      <c r="R424" s="490"/>
      <c r="S424" s="490"/>
    </row>
    <row r="425" spans="1:19" x14ac:dyDescent="0.2">
      <c r="A425" s="467"/>
      <c r="B425" s="486" t="s">
        <v>754</v>
      </c>
      <c r="C425" s="487" t="s">
        <v>715</v>
      </c>
      <c r="D425" s="492">
        <f>D421+D415</f>
        <v>32.106218160928194</v>
      </c>
      <c r="E425" s="487">
        <v>1.1000000000000001</v>
      </c>
      <c r="F425" s="492">
        <f>D425*E425</f>
        <v>35.316839977021019</v>
      </c>
      <c r="G425" s="549"/>
      <c r="J425" s="452"/>
      <c r="K425" s="452"/>
      <c r="L425" s="490"/>
      <c r="M425" s="477"/>
      <c r="N425" s="477"/>
      <c r="O425" s="477"/>
      <c r="P425" s="477"/>
      <c r="Q425" s="477"/>
      <c r="R425" s="490"/>
      <c r="S425" s="490"/>
    </row>
    <row r="426" spans="1:19" x14ac:dyDescent="0.2">
      <c r="A426" s="467"/>
      <c r="B426" s="486" t="s">
        <v>755</v>
      </c>
      <c r="C426" s="487" t="s">
        <v>715</v>
      </c>
      <c r="D426" s="492">
        <f>D425*1.8</f>
        <v>57.791192689670751</v>
      </c>
      <c r="E426" s="487">
        <v>1.1000000000000001</v>
      </c>
      <c r="F426" s="492">
        <f>D426*E426</f>
        <v>63.570311958637831</v>
      </c>
      <c r="G426" s="549"/>
      <c r="J426" s="452"/>
      <c r="K426" s="452"/>
      <c r="L426" s="490"/>
      <c r="M426" s="477"/>
      <c r="N426" s="477"/>
      <c r="O426" s="477"/>
      <c r="P426" s="477"/>
      <c r="Q426" s="477"/>
      <c r="R426" s="490"/>
      <c r="S426" s="490"/>
    </row>
    <row r="427" spans="1:19" x14ac:dyDescent="0.2">
      <c r="A427" s="467"/>
      <c r="B427" s="486" t="s">
        <v>756</v>
      </c>
      <c r="C427" s="487" t="s">
        <v>715</v>
      </c>
      <c r="D427" s="492">
        <f>D425*2.5</f>
        <v>80.265545402320484</v>
      </c>
      <c r="E427" s="487">
        <v>1.1000000000000001</v>
      </c>
      <c r="F427" s="492">
        <f>D427*E427</f>
        <v>88.292099942552539</v>
      </c>
      <c r="G427" s="549"/>
      <c r="J427" s="452"/>
      <c r="K427" s="452"/>
      <c r="L427" s="490"/>
      <c r="M427" s="477"/>
      <c r="N427" s="477"/>
      <c r="O427" s="477"/>
      <c r="P427" s="477"/>
      <c r="Q427" s="477"/>
      <c r="R427" s="490"/>
      <c r="S427" s="490"/>
    </row>
    <row r="428" spans="1:19" x14ac:dyDescent="0.2">
      <c r="A428" s="467" t="s">
        <v>757</v>
      </c>
      <c r="B428" s="486"/>
      <c r="C428" s="487"/>
      <c r="D428" s="492"/>
      <c r="E428" s="487"/>
      <c r="F428" s="492"/>
      <c r="G428" s="549"/>
      <c r="J428" s="452"/>
      <c r="K428" s="452"/>
      <c r="L428" s="490"/>
      <c r="M428" s="477"/>
      <c r="N428" s="477"/>
      <c r="O428" s="477"/>
      <c r="P428" s="477"/>
      <c r="Q428" s="477"/>
      <c r="R428" s="490"/>
      <c r="S428" s="490"/>
    </row>
    <row r="429" spans="1:19" x14ac:dyDescent="0.2">
      <c r="A429" s="467" t="s">
        <v>758</v>
      </c>
      <c r="B429" s="486" t="s">
        <v>139</v>
      </c>
      <c r="C429" s="487"/>
      <c r="D429" s="492">
        <v>0</v>
      </c>
      <c r="E429" s="487">
        <v>1.1000000000000001</v>
      </c>
      <c r="F429" s="492">
        <f>D429*E429</f>
        <v>0</v>
      </c>
      <c r="G429" s="549"/>
      <c r="J429" s="452"/>
      <c r="K429" s="452"/>
      <c r="L429" s="490"/>
      <c r="M429" s="477"/>
      <c r="N429" s="477"/>
      <c r="O429" s="477"/>
      <c r="P429" s="477"/>
      <c r="Q429" s="477"/>
      <c r="R429" s="490"/>
      <c r="S429" s="490"/>
    </row>
    <row r="430" spans="1:19" x14ac:dyDescent="0.2">
      <c r="A430" s="467"/>
      <c r="B430" s="486" t="s">
        <v>754</v>
      </c>
      <c r="C430" s="487" t="s">
        <v>715</v>
      </c>
      <c r="D430" s="492">
        <f>D426</f>
        <v>57.791192689670751</v>
      </c>
      <c r="E430" s="487">
        <v>1.1000000000000001</v>
      </c>
      <c r="F430" s="492">
        <f>D430*E430</f>
        <v>63.570311958637831</v>
      </c>
      <c r="G430" s="549"/>
      <c r="J430" s="452"/>
      <c r="K430" s="452"/>
      <c r="L430" s="490"/>
      <c r="M430" s="477"/>
      <c r="N430" s="477"/>
      <c r="O430" s="477"/>
      <c r="P430" s="477"/>
      <c r="Q430" s="477"/>
      <c r="R430" s="490"/>
      <c r="S430" s="490"/>
    </row>
    <row r="431" spans="1:19" x14ac:dyDescent="0.2">
      <c r="A431" s="467"/>
      <c r="B431" s="486" t="s">
        <v>755</v>
      </c>
      <c r="C431" s="487" t="s">
        <v>715</v>
      </c>
      <c r="D431" s="492">
        <f>D430*1.8</f>
        <v>104.02414684140736</v>
      </c>
      <c r="E431" s="487">
        <v>1.1000000000000001</v>
      </c>
      <c r="F431" s="492">
        <f>D431*E431</f>
        <v>114.42656152554811</v>
      </c>
      <c r="G431" s="549"/>
      <c r="J431" s="452"/>
      <c r="K431" s="452"/>
      <c r="L431" s="490"/>
      <c r="M431" s="477"/>
      <c r="N431" s="477"/>
      <c r="O431" s="477"/>
      <c r="P431" s="477"/>
      <c r="Q431" s="477"/>
      <c r="R431" s="490"/>
      <c r="S431" s="490"/>
    </row>
    <row r="432" spans="1:19" x14ac:dyDescent="0.2">
      <c r="A432" s="467"/>
      <c r="B432" s="486" t="s">
        <v>756</v>
      </c>
      <c r="C432" s="487" t="s">
        <v>715</v>
      </c>
      <c r="D432" s="492">
        <f>D430*2.5</f>
        <v>144.47798172417689</v>
      </c>
      <c r="E432" s="487">
        <v>1.1000000000000001</v>
      </c>
      <c r="F432" s="492">
        <f>D432*E432</f>
        <v>158.92577989659458</v>
      </c>
      <c r="G432" s="549"/>
      <c r="J432" s="452"/>
      <c r="K432" s="452"/>
      <c r="L432" s="490"/>
      <c r="M432" s="477"/>
      <c r="N432" s="477"/>
      <c r="O432" s="477"/>
      <c r="P432" s="477"/>
      <c r="Q432" s="477"/>
      <c r="R432" s="490"/>
      <c r="S432" s="490"/>
    </row>
    <row r="433" spans="1:19" x14ac:dyDescent="0.2">
      <c r="A433" s="467" t="s">
        <v>172</v>
      </c>
      <c r="B433" s="486" t="s">
        <v>494</v>
      </c>
      <c r="C433" s="487" t="s">
        <v>495</v>
      </c>
      <c r="D433" s="509">
        <v>0.5</v>
      </c>
      <c r="E433" s="487"/>
      <c r="F433" s="487"/>
      <c r="G433" s="487"/>
      <c r="I433" s="599">
        <v>0.65</v>
      </c>
      <c r="J433" s="599"/>
      <c r="K433" s="599"/>
      <c r="L433" s="490"/>
      <c r="M433" s="477"/>
      <c r="N433" s="477"/>
      <c r="O433" s="477"/>
      <c r="P433" s="477"/>
      <c r="Q433" s="477"/>
      <c r="R433" s="490"/>
      <c r="S433" s="490"/>
    </row>
    <row r="434" spans="1:19" x14ac:dyDescent="0.2">
      <c r="A434" s="467" t="s">
        <v>15</v>
      </c>
      <c r="B434" s="486"/>
      <c r="C434" s="487"/>
      <c r="D434" s="541"/>
      <c r="E434" s="487"/>
      <c r="F434" s="541"/>
      <c r="G434" s="586"/>
      <c r="J434" s="452"/>
      <c r="K434" s="452"/>
      <c r="L434" s="490"/>
      <c r="M434" s="477"/>
      <c r="N434" s="477"/>
      <c r="O434" s="477"/>
      <c r="P434" s="477"/>
      <c r="Q434" s="477"/>
      <c r="R434" s="490"/>
      <c r="S434" s="490"/>
    </row>
    <row r="435" spans="1:19" x14ac:dyDescent="0.2">
      <c r="A435" s="485" t="str">
        <f>'Data-Liste'!F3</f>
        <v>Bureaux</v>
      </c>
      <c r="B435" s="486"/>
      <c r="C435" s="487"/>
      <c r="D435" s="487"/>
      <c r="E435" s="487"/>
      <c r="F435" s="487"/>
      <c r="G435" s="549"/>
      <c r="J435" s="452"/>
      <c r="K435" s="452"/>
      <c r="L435" s="490"/>
      <c r="M435" s="477"/>
      <c r="N435" s="477"/>
      <c r="O435" s="477"/>
      <c r="P435" s="477"/>
      <c r="Q435" s="477"/>
      <c r="R435" s="490"/>
      <c r="S435" s="490"/>
    </row>
    <row r="436" spans="1:19" x14ac:dyDescent="0.2">
      <c r="A436" s="467" t="s">
        <v>748</v>
      </c>
      <c r="B436" s="486"/>
      <c r="C436" s="487"/>
      <c r="D436" s="487"/>
      <c r="E436" s="487"/>
      <c r="F436" s="487"/>
      <c r="G436" s="549"/>
      <c r="J436" s="452"/>
      <c r="K436" s="452"/>
      <c r="L436" s="490"/>
      <c r="M436" s="477"/>
      <c r="N436" s="477"/>
      <c r="O436" s="477"/>
      <c r="P436" s="477"/>
      <c r="Q436" s="477"/>
      <c r="R436" s="490"/>
      <c r="S436" s="490"/>
    </row>
    <row r="437" spans="1:19" x14ac:dyDescent="0.2">
      <c r="A437" s="467"/>
      <c r="B437" s="486" t="s">
        <v>747</v>
      </c>
      <c r="C437" s="487" t="s">
        <v>715</v>
      </c>
      <c r="D437" s="487">
        <v>5</v>
      </c>
      <c r="E437" s="487">
        <v>1.1000000000000001</v>
      </c>
      <c r="F437" s="487">
        <f>D437*E437</f>
        <v>5.5</v>
      </c>
      <c r="G437" s="549"/>
      <c r="I437" s="452">
        <v>4.8</v>
      </c>
      <c r="J437" s="452"/>
      <c r="K437" s="452"/>
      <c r="L437" s="490"/>
      <c r="M437" s="477"/>
      <c r="N437" s="477"/>
      <c r="O437" s="477"/>
      <c r="P437" s="477"/>
      <c r="Q437" s="477"/>
      <c r="R437" s="490"/>
      <c r="S437" s="490"/>
    </row>
    <row r="438" spans="1:19" x14ac:dyDescent="0.2">
      <c r="A438" s="467" t="s">
        <v>749</v>
      </c>
      <c r="B438" s="486"/>
      <c r="C438" s="487"/>
      <c r="D438" s="487"/>
      <c r="E438" s="487"/>
      <c r="F438" s="487"/>
      <c r="G438" s="549"/>
      <c r="J438" s="452"/>
      <c r="K438" s="452"/>
      <c r="L438" s="490"/>
      <c r="M438" s="477"/>
      <c r="N438" s="477"/>
      <c r="O438" s="477"/>
      <c r="P438" s="477"/>
      <c r="Q438" s="477"/>
      <c r="R438" s="490"/>
      <c r="S438" s="490"/>
    </row>
    <row r="439" spans="1:19" x14ac:dyDescent="0.2">
      <c r="A439" s="467" t="s">
        <v>274</v>
      </c>
      <c r="B439" s="486" t="s">
        <v>139</v>
      </c>
      <c r="C439" s="487"/>
      <c r="D439" s="492">
        <v>60</v>
      </c>
      <c r="E439" s="487">
        <v>1.1000000000000001</v>
      </c>
      <c r="F439" s="492">
        <f>D439*E439</f>
        <v>66</v>
      </c>
      <c r="G439" s="549"/>
      <c r="J439" s="452"/>
      <c r="K439" s="452"/>
      <c r="L439" s="490"/>
      <c r="M439" s="477"/>
      <c r="N439" s="477"/>
      <c r="O439" s="477"/>
      <c r="P439" s="477"/>
      <c r="Q439" s="477"/>
      <c r="R439" s="490"/>
      <c r="S439" s="490"/>
    </row>
    <row r="440" spans="1:19" x14ac:dyDescent="0.2">
      <c r="A440" s="467"/>
      <c r="B440" s="486" t="s">
        <v>750</v>
      </c>
      <c r="C440" s="487" t="s">
        <v>715</v>
      </c>
      <c r="D440" s="487">
        <v>40</v>
      </c>
      <c r="E440" s="487">
        <v>1.1000000000000001</v>
      </c>
      <c r="F440" s="492">
        <f>D440*E440</f>
        <v>44</v>
      </c>
      <c r="G440" s="549"/>
      <c r="I440" s="452">
        <v>10.8</v>
      </c>
      <c r="J440" s="452"/>
      <c r="K440" s="452"/>
      <c r="L440" s="490"/>
      <c r="M440" s="477"/>
      <c r="N440" s="477"/>
      <c r="O440" s="477"/>
      <c r="P440" s="477"/>
      <c r="Q440" s="477"/>
      <c r="R440" s="490"/>
      <c r="S440" s="490"/>
    </row>
    <row r="441" spans="1:19" x14ac:dyDescent="0.2">
      <c r="A441" s="467"/>
      <c r="B441" s="486" t="s">
        <v>751</v>
      </c>
      <c r="C441" s="487" t="s">
        <v>715</v>
      </c>
      <c r="D441" s="487">
        <v>60</v>
      </c>
      <c r="E441" s="487">
        <v>1.1000000000000001</v>
      </c>
      <c r="F441" s="492">
        <f>D441*E441</f>
        <v>66</v>
      </c>
      <c r="G441" s="549"/>
      <c r="I441" s="452">
        <v>16.8</v>
      </c>
      <c r="J441" s="452"/>
      <c r="K441" s="452"/>
      <c r="L441" s="490"/>
      <c r="M441" s="477"/>
      <c r="N441" s="477"/>
      <c r="O441" s="477"/>
      <c r="P441" s="477"/>
      <c r="Q441" s="477"/>
      <c r="R441" s="490"/>
      <c r="S441" s="490"/>
    </row>
    <row r="442" spans="1:19" x14ac:dyDescent="0.2">
      <c r="A442" s="467"/>
      <c r="B442" s="486" t="s">
        <v>752</v>
      </c>
      <c r="C442" s="487" t="s">
        <v>715</v>
      </c>
      <c r="D442" s="487">
        <v>80</v>
      </c>
      <c r="E442" s="487">
        <v>1.1000000000000001</v>
      </c>
      <c r="F442" s="492">
        <f>D442*E442</f>
        <v>88</v>
      </c>
      <c r="G442" s="549"/>
      <c r="I442" s="452">
        <v>28.8</v>
      </c>
      <c r="J442" s="452"/>
      <c r="K442" s="452"/>
      <c r="L442" s="490"/>
      <c r="M442" s="477"/>
      <c r="N442" s="477"/>
      <c r="O442" s="477"/>
      <c r="P442" s="477"/>
      <c r="Q442" s="477"/>
      <c r="R442" s="490"/>
      <c r="S442" s="490"/>
    </row>
    <row r="443" spans="1:19" x14ac:dyDescent="0.2">
      <c r="A443" s="467" t="s">
        <v>753</v>
      </c>
      <c r="B443" s="486"/>
      <c r="C443" s="487"/>
      <c r="D443" s="487"/>
      <c r="E443" s="487"/>
      <c r="F443" s="492"/>
      <c r="G443" s="549"/>
      <c r="J443" s="452"/>
      <c r="K443" s="452"/>
      <c r="L443" s="490"/>
      <c r="M443" s="477"/>
      <c r="N443" s="477"/>
      <c r="O443" s="477"/>
      <c r="P443" s="477"/>
      <c r="Q443" s="477"/>
      <c r="R443" s="490"/>
      <c r="S443" s="490"/>
    </row>
    <row r="444" spans="1:19" x14ac:dyDescent="0.2">
      <c r="A444" s="467" t="s">
        <v>274</v>
      </c>
      <c r="B444" s="486" t="s">
        <v>139</v>
      </c>
      <c r="C444" s="487"/>
      <c r="D444" s="492">
        <v>75</v>
      </c>
      <c r="E444" s="487">
        <v>1.1000000000000001</v>
      </c>
      <c r="F444" s="492">
        <f>D444*E444</f>
        <v>82.5</v>
      </c>
      <c r="G444" s="549"/>
      <c r="J444" s="452"/>
      <c r="K444" s="452"/>
      <c r="L444" s="490"/>
      <c r="M444" s="477"/>
      <c r="N444" s="477"/>
      <c r="O444" s="477"/>
      <c r="P444" s="477"/>
      <c r="Q444" s="477"/>
      <c r="R444" s="490"/>
      <c r="S444" s="490"/>
    </row>
    <row r="445" spans="1:19" x14ac:dyDescent="0.2">
      <c r="A445" s="467"/>
      <c r="B445" s="486" t="s">
        <v>754</v>
      </c>
      <c r="C445" s="487" t="s">
        <v>715</v>
      </c>
      <c r="D445" s="487">
        <v>75</v>
      </c>
      <c r="E445" s="487">
        <v>1.1000000000000001</v>
      </c>
      <c r="F445" s="492">
        <f>D445*E445</f>
        <v>82.5</v>
      </c>
      <c r="G445" s="549"/>
      <c r="J445" s="452"/>
      <c r="K445" s="452"/>
      <c r="L445" s="490"/>
      <c r="M445" s="477"/>
      <c r="N445" s="477"/>
      <c r="O445" s="477"/>
      <c r="P445" s="477"/>
      <c r="Q445" s="477"/>
      <c r="R445" s="490"/>
      <c r="S445" s="490"/>
    </row>
    <row r="446" spans="1:19" x14ac:dyDescent="0.2">
      <c r="A446" s="467"/>
      <c r="B446" s="486" t="s">
        <v>755</v>
      </c>
      <c r="C446" s="487" t="s">
        <v>715</v>
      </c>
      <c r="D446" s="487">
        <v>125</v>
      </c>
      <c r="E446" s="487">
        <v>1.1000000000000001</v>
      </c>
      <c r="F446" s="492">
        <f>D446*E446</f>
        <v>137.5</v>
      </c>
      <c r="G446" s="549"/>
      <c r="I446" s="452">
        <v>36.799999999999997</v>
      </c>
      <c r="J446" s="452"/>
      <c r="K446" s="452"/>
      <c r="L446" s="490"/>
      <c r="M446" s="477"/>
      <c r="N446" s="477"/>
      <c r="O446" s="477"/>
      <c r="P446" s="477"/>
      <c r="Q446" s="477"/>
      <c r="R446" s="490"/>
      <c r="S446" s="490"/>
    </row>
    <row r="447" spans="1:19" x14ac:dyDescent="0.2">
      <c r="A447" s="467"/>
      <c r="B447" s="486" t="s">
        <v>756</v>
      </c>
      <c r="C447" s="487" t="s">
        <v>715</v>
      </c>
      <c r="D447" s="487">
        <v>165</v>
      </c>
      <c r="E447" s="487">
        <v>1.1000000000000001</v>
      </c>
      <c r="F447" s="492">
        <f>D447*E447</f>
        <v>181.50000000000003</v>
      </c>
      <c r="G447" s="549"/>
      <c r="I447" s="452">
        <v>52.8</v>
      </c>
      <c r="J447" s="452"/>
      <c r="K447" s="452"/>
      <c r="L447" s="490"/>
      <c r="M447" s="477"/>
      <c r="N447" s="477"/>
      <c r="O447" s="477"/>
      <c r="P447" s="477"/>
      <c r="Q447" s="477"/>
      <c r="R447" s="490"/>
      <c r="S447" s="490"/>
    </row>
    <row r="448" spans="1:19" x14ac:dyDescent="0.2">
      <c r="A448" s="467" t="s">
        <v>757</v>
      </c>
      <c r="B448" s="486"/>
      <c r="C448" s="487"/>
      <c r="D448" s="487"/>
      <c r="E448" s="487"/>
      <c r="F448" s="492"/>
      <c r="G448" s="549"/>
      <c r="J448" s="452"/>
      <c r="K448" s="452"/>
      <c r="L448" s="490"/>
      <c r="M448" s="477"/>
      <c r="N448" s="477"/>
      <c r="O448" s="477"/>
      <c r="P448" s="477"/>
      <c r="Q448" s="477"/>
      <c r="R448" s="490"/>
      <c r="S448" s="490"/>
    </row>
    <row r="449" spans="1:19" x14ac:dyDescent="0.2">
      <c r="A449" s="467" t="s">
        <v>758</v>
      </c>
      <c r="B449" s="486" t="s">
        <v>139</v>
      </c>
      <c r="C449" s="487"/>
      <c r="D449" s="492">
        <v>100</v>
      </c>
      <c r="E449" s="487">
        <v>1.1000000000000001</v>
      </c>
      <c r="F449" s="492">
        <f>D449*E449</f>
        <v>110.00000000000001</v>
      </c>
      <c r="G449" s="549"/>
      <c r="J449" s="452"/>
      <c r="K449" s="452"/>
      <c r="L449" s="490"/>
      <c r="M449" s="477"/>
      <c r="N449" s="477"/>
      <c r="O449" s="477"/>
      <c r="P449" s="477"/>
      <c r="Q449" s="477"/>
      <c r="R449" s="490"/>
      <c r="S449" s="490"/>
    </row>
    <row r="450" spans="1:19" x14ac:dyDescent="0.2">
      <c r="A450" s="467"/>
      <c r="B450" s="486" t="s">
        <v>754</v>
      </c>
      <c r="C450" s="487" t="s">
        <v>715</v>
      </c>
      <c r="D450" s="487">
        <v>100</v>
      </c>
      <c r="E450" s="487">
        <v>1.1000000000000001</v>
      </c>
      <c r="F450" s="492">
        <f>D450*E450</f>
        <v>110.00000000000001</v>
      </c>
      <c r="G450" s="549"/>
      <c r="J450" s="452"/>
      <c r="K450" s="452"/>
      <c r="L450" s="490"/>
      <c r="M450" s="477"/>
      <c r="N450" s="477"/>
      <c r="O450" s="477"/>
      <c r="P450" s="477"/>
      <c r="Q450" s="477"/>
      <c r="R450" s="490"/>
      <c r="S450" s="490"/>
    </row>
    <row r="451" spans="1:19" x14ac:dyDescent="0.2">
      <c r="A451" s="467"/>
      <c r="B451" s="486" t="s">
        <v>755</v>
      </c>
      <c r="C451" s="487" t="s">
        <v>715</v>
      </c>
      <c r="D451" s="487">
        <v>140</v>
      </c>
      <c r="E451" s="487">
        <v>1.1000000000000001</v>
      </c>
      <c r="F451" s="492">
        <f>D451*E451</f>
        <v>154</v>
      </c>
      <c r="G451" s="549"/>
      <c r="I451" s="452">
        <v>56</v>
      </c>
      <c r="J451" s="452"/>
      <c r="K451" s="452"/>
      <c r="L451" s="490"/>
      <c r="M451" s="477"/>
      <c r="N451" s="477"/>
      <c r="O451" s="477"/>
      <c r="P451" s="477"/>
      <c r="Q451" s="477"/>
      <c r="R451" s="490"/>
      <c r="S451" s="490"/>
    </row>
    <row r="452" spans="1:19" x14ac:dyDescent="0.2">
      <c r="A452" s="467"/>
      <c r="B452" s="486" t="s">
        <v>756</v>
      </c>
      <c r="C452" s="487" t="s">
        <v>715</v>
      </c>
      <c r="D452" s="487">
        <v>160</v>
      </c>
      <c r="E452" s="487">
        <v>1.1000000000000001</v>
      </c>
      <c r="F452" s="492">
        <f>D452*E452</f>
        <v>176</v>
      </c>
      <c r="G452" s="549"/>
      <c r="I452" s="452">
        <v>84</v>
      </c>
      <c r="J452" s="452"/>
      <c r="K452" s="452"/>
      <c r="L452" s="490"/>
      <c r="M452" s="477"/>
      <c r="N452" s="477"/>
      <c r="O452" s="477"/>
      <c r="P452" s="477"/>
      <c r="Q452" s="477"/>
      <c r="R452" s="490"/>
      <c r="S452" s="490"/>
    </row>
    <row r="453" spans="1:19" x14ac:dyDescent="0.2">
      <c r="A453" s="485" t="str">
        <f>'Data-Liste'!F4</f>
        <v>Enseignement scolaire</v>
      </c>
      <c r="B453" s="486"/>
      <c r="C453" s="487"/>
      <c r="D453" s="487"/>
      <c r="E453" s="487"/>
      <c r="F453" s="487"/>
      <c r="G453" s="586"/>
      <c r="J453" s="452"/>
      <c r="K453" s="452"/>
      <c r="L453" s="490"/>
      <c r="M453" s="477"/>
      <c r="N453" s="477"/>
      <c r="O453" s="477"/>
      <c r="P453" s="477"/>
      <c r="Q453" s="477"/>
      <c r="R453" s="490"/>
      <c r="S453" s="490"/>
    </row>
    <row r="454" spans="1:19" x14ac:dyDescent="0.2">
      <c r="A454" s="467" t="s">
        <v>748</v>
      </c>
      <c r="B454" s="486"/>
      <c r="C454" s="487"/>
      <c r="D454" s="487"/>
      <c r="E454" s="487"/>
      <c r="F454" s="487"/>
      <c r="G454" s="586"/>
      <c r="J454" s="452"/>
      <c r="K454" s="452"/>
      <c r="L454" s="490"/>
      <c r="M454" s="477"/>
      <c r="N454" s="477"/>
      <c r="O454" s="477"/>
      <c r="P454" s="477"/>
      <c r="Q454" s="477"/>
      <c r="R454" s="490"/>
      <c r="S454" s="490"/>
    </row>
    <row r="455" spans="1:19" x14ac:dyDescent="0.2">
      <c r="A455" s="467"/>
      <c r="B455" s="486" t="s">
        <v>747</v>
      </c>
      <c r="C455" s="487" t="s">
        <v>715</v>
      </c>
      <c r="D455" s="487">
        <v>5</v>
      </c>
      <c r="E455" s="487">
        <v>1.1000000000000001</v>
      </c>
      <c r="F455" s="487">
        <f>D455*E455</f>
        <v>5.5</v>
      </c>
      <c r="G455" s="586"/>
      <c r="J455" s="452"/>
      <c r="K455" s="452"/>
      <c r="L455" s="490"/>
      <c r="M455" s="477"/>
      <c r="N455" s="477"/>
      <c r="O455" s="477"/>
      <c r="P455" s="477"/>
      <c r="Q455" s="477"/>
      <c r="R455" s="490"/>
      <c r="S455" s="490"/>
    </row>
    <row r="456" spans="1:19" x14ac:dyDescent="0.2">
      <c r="A456" s="467" t="s">
        <v>749</v>
      </c>
      <c r="B456" s="486"/>
      <c r="C456" s="487"/>
      <c r="D456" s="487"/>
      <c r="E456" s="487"/>
      <c r="F456" s="487"/>
      <c r="G456" s="586"/>
      <c r="J456" s="452"/>
      <c r="K456" s="452"/>
      <c r="L456" s="490"/>
      <c r="M456" s="477"/>
      <c r="N456" s="477"/>
      <c r="O456" s="477"/>
      <c r="P456" s="477"/>
      <c r="Q456" s="477"/>
      <c r="R456" s="490"/>
      <c r="S456" s="490"/>
    </row>
    <row r="457" spans="1:19" x14ac:dyDescent="0.2">
      <c r="A457" s="558" t="str">
        <f>A439</f>
        <v>durée de fonctionnement de la climatisation</v>
      </c>
      <c r="B457" s="508" t="str">
        <f>B439</f>
        <v>-</v>
      </c>
      <c r="C457" s="550"/>
      <c r="D457" s="492">
        <v>20</v>
      </c>
      <c r="E457" s="487">
        <v>1.1000000000000001</v>
      </c>
      <c r="F457" s="492">
        <f>D457*E457</f>
        <v>22</v>
      </c>
      <c r="G457" s="586"/>
      <c r="J457" s="452"/>
      <c r="K457" s="452"/>
      <c r="L457" s="490"/>
      <c r="M457" s="477"/>
      <c r="N457" s="477"/>
      <c r="O457" s="477"/>
      <c r="P457" s="477"/>
      <c r="Q457" s="477"/>
      <c r="R457" s="490"/>
      <c r="S457" s="490"/>
    </row>
    <row r="458" spans="1:19" x14ac:dyDescent="0.2">
      <c r="A458" s="467"/>
      <c r="B458" s="508" t="str">
        <f t="shared" ref="B458:C460" si="23">B440</f>
        <v>très faible (environ 1 mois 1/2)</v>
      </c>
      <c r="C458" s="560" t="str">
        <f t="shared" si="23"/>
        <v>kWh / m²</v>
      </c>
      <c r="D458" s="487">
        <v>10</v>
      </c>
      <c r="E458" s="487">
        <v>1.1000000000000001</v>
      </c>
      <c r="F458" s="492">
        <f>D458*E458</f>
        <v>11</v>
      </c>
      <c r="G458" s="586"/>
      <c r="J458" s="452"/>
      <c r="K458" s="452"/>
      <c r="L458" s="490"/>
      <c r="M458" s="477"/>
      <c r="N458" s="477"/>
      <c r="O458" s="477"/>
      <c r="P458" s="477"/>
      <c r="Q458" s="477"/>
      <c r="R458" s="490"/>
      <c r="S458" s="490"/>
    </row>
    <row r="459" spans="1:19" x14ac:dyDescent="0.2">
      <c r="A459" s="467"/>
      <c r="B459" s="508" t="str">
        <f t="shared" si="23"/>
        <v>occasionnelle (environ 3 mois)</v>
      </c>
      <c r="C459" s="560" t="str">
        <f t="shared" si="23"/>
        <v>kWh / m²</v>
      </c>
      <c r="D459" s="487">
        <v>20</v>
      </c>
      <c r="E459" s="487">
        <v>1.1000000000000001</v>
      </c>
      <c r="F459" s="492">
        <f>D459*E459</f>
        <v>22</v>
      </c>
      <c r="G459" s="586"/>
      <c r="J459" s="452"/>
      <c r="K459" s="452"/>
      <c r="L459" s="490"/>
      <c r="M459" s="477"/>
      <c r="N459" s="477"/>
      <c r="O459" s="477"/>
      <c r="P459" s="477"/>
      <c r="Q459" s="477"/>
      <c r="R459" s="490"/>
      <c r="S459" s="490"/>
    </row>
    <row r="460" spans="1:19" x14ac:dyDescent="0.2">
      <c r="A460" s="467"/>
      <c r="B460" s="508" t="str">
        <f t="shared" si="23"/>
        <v>fréquente (environ 6 mois)</v>
      </c>
      <c r="C460" s="560" t="str">
        <f t="shared" si="23"/>
        <v>kWh / m²</v>
      </c>
      <c r="D460" s="487">
        <v>40</v>
      </c>
      <c r="E460" s="487">
        <v>1.1000000000000001</v>
      </c>
      <c r="F460" s="492">
        <f>D460*E460</f>
        <v>44</v>
      </c>
      <c r="G460" s="586"/>
      <c r="J460" s="452"/>
      <c r="K460" s="452"/>
      <c r="L460" s="490"/>
      <c r="M460" s="477"/>
      <c r="N460" s="477"/>
      <c r="O460" s="477"/>
      <c r="P460" s="477"/>
      <c r="Q460" s="477"/>
      <c r="R460" s="490"/>
      <c r="S460" s="490"/>
    </row>
    <row r="461" spans="1:19" x14ac:dyDescent="0.2">
      <c r="A461" s="467" t="s">
        <v>753</v>
      </c>
      <c r="B461" s="508"/>
      <c r="C461" s="560"/>
      <c r="D461" s="487"/>
      <c r="E461" s="487"/>
      <c r="F461" s="492"/>
      <c r="G461" s="586"/>
      <c r="J461" s="452"/>
      <c r="K461" s="452"/>
      <c r="L461" s="490"/>
      <c r="M461" s="477"/>
      <c r="N461" s="477"/>
      <c r="O461" s="477"/>
      <c r="P461" s="477"/>
      <c r="Q461" s="477"/>
      <c r="R461" s="490"/>
      <c r="S461" s="490"/>
    </row>
    <row r="462" spans="1:19" x14ac:dyDescent="0.2">
      <c r="A462" s="558" t="str">
        <f>A444</f>
        <v>durée de fonctionnement de la climatisation</v>
      </c>
      <c r="B462" s="508" t="str">
        <f>B444</f>
        <v>-</v>
      </c>
      <c r="C462" s="560"/>
      <c r="D462" s="492">
        <v>30</v>
      </c>
      <c r="E462" s="487">
        <v>1.1000000000000001</v>
      </c>
      <c r="F462" s="492">
        <f>D462*E462</f>
        <v>33</v>
      </c>
      <c r="G462" s="586"/>
      <c r="J462" s="452"/>
      <c r="K462" s="452"/>
      <c r="L462" s="490"/>
      <c r="M462" s="477"/>
      <c r="N462" s="477"/>
      <c r="O462" s="477"/>
      <c r="P462" s="477"/>
      <c r="Q462" s="477"/>
      <c r="R462" s="490"/>
      <c r="S462" s="490"/>
    </row>
    <row r="463" spans="1:19" x14ac:dyDescent="0.2">
      <c r="A463" s="467"/>
      <c r="B463" s="508" t="str">
        <f t="shared" ref="B463:C465" si="24">B445</f>
        <v>peu fréquente (environ 4 mois)</v>
      </c>
      <c r="C463" s="560" t="str">
        <f t="shared" si="24"/>
        <v>kWh / m²</v>
      </c>
      <c r="D463" s="487">
        <v>15</v>
      </c>
      <c r="E463" s="487">
        <v>1.1000000000000001</v>
      </c>
      <c r="F463" s="492">
        <f>D463*E463</f>
        <v>16.5</v>
      </c>
      <c r="G463" s="586"/>
      <c r="J463" s="452"/>
      <c r="K463" s="452"/>
      <c r="L463" s="490"/>
      <c r="M463" s="477"/>
      <c r="N463" s="477"/>
      <c r="O463" s="477"/>
      <c r="P463" s="477"/>
      <c r="Q463" s="477"/>
      <c r="R463" s="490"/>
      <c r="S463" s="490"/>
    </row>
    <row r="464" spans="1:19" x14ac:dyDescent="0.2">
      <c r="A464" s="467"/>
      <c r="B464" s="508" t="str">
        <f t="shared" si="24"/>
        <v>fréquente (environ 8 mois)</v>
      </c>
      <c r="C464" s="560" t="str">
        <f t="shared" si="24"/>
        <v>kWh / m²</v>
      </c>
      <c r="D464" s="487">
        <v>30</v>
      </c>
      <c r="E464" s="487">
        <v>1.1000000000000001</v>
      </c>
      <c r="F464" s="492">
        <f>D464*E464</f>
        <v>33</v>
      </c>
      <c r="G464" s="586"/>
      <c r="J464" s="452"/>
      <c r="K464" s="452"/>
      <c r="L464" s="490"/>
      <c r="M464" s="477"/>
      <c r="N464" s="477"/>
      <c r="O464" s="477"/>
      <c r="P464" s="477"/>
      <c r="Q464" s="477"/>
      <c r="R464" s="490"/>
      <c r="S464" s="490"/>
    </row>
    <row r="465" spans="1:19" x14ac:dyDescent="0.2">
      <c r="A465" s="467"/>
      <c r="B465" s="508" t="str">
        <f t="shared" si="24"/>
        <v>permanente (environ 12 mois)</v>
      </c>
      <c r="C465" s="560" t="str">
        <f t="shared" si="24"/>
        <v>kWh / m²</v>
      </c>
      <c r="D465" s="487">
        <v>45</v>
      </c>
      <c r="E465" s="487">
        <v>1.1000000000000001</v>
      </c>
      <c r="F465" s="492">
        <f>D465*E465</f>
        <v>49.500000000000007</v>
      </c>
      <c r="G465" s="586"/>
      <c r="J465" s="452"/>
      <c r="K465" s="452"/>
      <c r="L465" s="490"/>
      <c r="M465" s="477"/>
      <c r="N465" s="477"/>
      <c r="O465" s="477"/>
      <c r="P465" s="477"/>
      <c r="Q465" s="477"/>
      <c r="R465" s="490"/>
      <c r="S465" s="490"/>
    </row>
    <row r="466" spans="1:19" x14ac:dyDescent="0.2">
      <c r="A466" s="467" t="s">
        <v>757</v>
      </c>
      <c r="B466" s="508"/>
      <c r="C466" s="560"/>
      <c r="D466" s="487"/>
      <c r="E466" s="487"/>
      <c r="F466" s="492"/>
      <c r="G466" s="586"/>
      <c r="J466" s="452"/>
      <c r="K466" s="452"/>
      <c r="L466" s="490"/>
      <c r="M466" s="477"/>
      <c r="N466" s="477"/>
      <c r="O466" s="477"/>
      <c r="P466" s="477"/>
      <c r="Q466" s="477"/>
      <c r="R466" s="490"/>
      <c r="S466" s="490"/>
    </row>
    <row r="467" spans="1:19" x14ac:dyDescent="0.2">
      <c r="A467" s="558" t="str">
        <f>A449</f>
        <v>durée de fonctionnement</v>
      </c>
      <c r="B467" s="508" t="str">
        <f>B449</f>
        <v>-</v>
      </c>
      <c r="C467" s="560"/>
      <c r="D467" s="492">
        <v>100</v>
      </c>
      <c r="E467" s="487">
        <v>1.1000000000000001</v>
      </c>
      <c r="F467" s="492">
        <f>D467*E467</f>
        <v>110.00000000000001</v>
      </c>
      <c r="G467" s="586"/>
      <c r="J467" s="452"/>
      <c r="K467" s="452"/>
      <c r="L467" s="490"/>
      <c r="M467" s="477"/>
      <c r="N467" s="477"/>
      <c r="O467" s="477"/>
      <c r="P467" s="477"/>
      <c r="Q467" s="477"/>
      <c r="R467" s="490"/>
      <c r="S467" s="490"/>
    </row>
    <row r="468" spans="1:19" x14ac:dyDescent="0.2">
      <c r="A468" s="467"/>
      <c r="B468" s="508" t="str">
        <f t="shared" ref="B468:C470" si="25">B450</f>
        <v>peu fréquente (environ 4 mois)</v>
      </c>
      <c r="C468" s="560" t="str">
        <f t="shared" si="25"/>
        <v>kWh / m²</v>
      </c>
      <c r="D468" s="487">
        <v>50</v>
      </c>
      <c r="E468" s="487">
        <v>1.1000000000000001</v>
      </c>
      <c r="F468" s="492">
        <f>D468*E468</f>
        <v>55.000000000000007</v>
      </c>
      <c r="G468" s="586"/>
      <c r="J468" s="452"/>
      <c r="K468" s="452"/>
      <c r="L468" s="490"/>
      <c r="M468" s="477"/>
      <c r="N468" s="477"/>
      <c r="O468" s="477"/>
      <c r="P468" s="477"/>
      <c r="Q468" s="477"/>
      <c r="R468" s="490"/>
      <c r="S468" s="490"/>
    </row>
    <row r="469" spans="1:19" x14ac:dyDescent="0.2">
      <c r="A469" s="467"/>
      <c r="B469" s="508" t="str">
        <f t="shared" si="25"/>
        <v>fréquente (environ 8 mois)</v>
      </c>
      <c r="C469" s="560" t="str">
        <f t="shared" si="25"/>
        <v>kWh / m²</v>
      </c>
      <c r="D469" s="487">
        <v>100</v>
      </c>
      <c r="E469" s="487">
        <v>1.1000000000000001</v>
      </c>
      <c r="F469" s="492">
        <f>D469*E469</f>
        <v>110.00000000000001</v>
      </c>
      <c r="G469" s="586"/>
      <c r="J469" s="452"/>
      <c r="K469" s="452"/>
      <c r="L469" s="490"/>
      <c r="M469" s="477"/>
      <c r="N469" s="477"/>
      <c r="O469" s="477"/>
      <c r="P469" s="477"/>
      <c r="Q469" s="477"/>
      <c r="R469" s="490"/>
      <c r="S469" s="490"/>
    </row>
    <row r="470" spans="1:19" x14ac:dyDescent="0.2">
      <c r="A470" s="467"/>
      <c r="B470" s="508" t="str">
        <f t="shared" si="25"/>
        <v>permanente (environ 12 mois)</v>
      </c>
      <c r="C470" s="560" t="str">
        <f t="shared" si="25"/>
        <v>kWh / m²</v>
      </c>
      <c r="D470" s="487">
        <v>150</v>
      </c>
      <c r="E470" s="487">
        <v>1.1000000000000001</v>
      </c>
      <c r="F470" s="492">
        <f>D470*E470</f>
        <v>165</v>
      </c>
      <c r="G470" s="586"/>
      <c r="J470" s="452"/>
      <c r="K470" s="452"/>
      <c r="L470" s="490"/>
      <c r="M470" s="477"/>
      <c r="N470" s="477"/>
      <c r="O470" s="477"/>
      <c r="P470" s="477"/>
      <c r="Q470" s="477"/>
      <c r="R470" s="490"/>
      <c r="S470" s="490"/>
    </row>
    <row r="471" spans="1:19" x14ac:dyDescent="0.2">
      <c r="A471" s="485" t="str">
        <f>'Data-Liste'!F5</f>
        <v>Enseignement supérieur</v>
      </c>
      <c r="B471" s="486"/>
      <c r="C471" s="487"/>
      <c r="D471" s="487"/>
      <c r="E471" s="487"/>
      <c r="F471" s="487"/>
      <c r="G471" s="586"/>
      <c r="J471" s="452"/>
      <c r="K471" s="452"/>
      <c r="L471" s="490"/>
      <c r="M471" s="477"/>
      <c r="N471" s="477"/>
      <c r="O471" s="477"/>
      <c r="P471" s="477"/>
      <c r="Q471" s="477"/>
      <c r="R471" s="490"/>
      <c r="S471" s="490"/>
    </row>
    <row r="472" spans="1:19" x14ac:dyDescent="0.2">
      <c r="A472" s="467" t="s">
        <v>748</v>
      </c>
      <c r="B472" s="486"/>
      <c r="C472" s="487"/>
      <c r="D472" s="487"/>
      <c r="E472" s="487"/>
      <c r="F472" s="487"/>
      <c r="G472" s="586"/>
      <c r="J472" s="452"/>
      <c r="K472" s="452"/>
      <c r="L472" s="490"/>
      <c r="M472" s="477"/>
      <c r="N472" s="477"/>
      <c r="O472" s="477"/>
      <c r="P472" s="477"/>
      <c r="Q472" s="477"/>
      <c r="R472" s="490"/>
      <c r="S472" s="490"/>
    </row>
    <row r="473" spans="1:19" x14ac:dyDescent="0.2">
      <c r="A473" s="467"/>
      <c r="B473" s="486" t="s">
        <v>747</v>
      </c>
      <c r="C473" s="487" t="s">
        <v>715</v>
      </c>
      <c r="D473" s="487">
        <v>15</v>
      </c>
      <c r="E473" s="487">
        <v>1.1000000000000001</v>
      </c>
      <c r="F473" s="487">
        <f>D473*E473</f>
        <v>16.5</v>
      </c>
      <c r="G473" s="586"/>
      <c r="J473" s="452"/>
      <c r="K473" s="452"/>
      <c r="L473" s="490"/>
      <c r="M473" s="477"/>
      <c r="N473" s="477"/>
      <c r="O473" s="477"/>
      <c r="P473" s="477"/>
      <c r="Q473" s="477"/>
      <c r="R473" s="490"/>
      <c r="S473" s="490"/>
    </row>
    <row r="474" spans="1:19" x14ac:dyDescent="0.2">
      <c r="A474" s="467" t="s">
        <v>749</v>
      </c>
      <c r="B474" s="486"/>
      <c r="C474" s="487"/>
      <c r="D474" s="487"/>
      <c r="E474" s="487"/>
      <c r="F474" s="487"/>
      <c r="G474" s="586"/>
      <c r="J474" s="452"/>
      <c r="K474" s="452"/>
      <c r="L474" s="490"/>
      <c r="M474" s="477"/>
      <c r="N474" s="477"/>
      <c r="O474" s="477"/>
      <c r="P474" s="477"/>
      <c r="Q474" s="477"/>
      <c r="R474" s="490"/>
      <c r="S474" s="490"/>
    </row>
    <row r="475" spans="1:19" x14ac:dyDescent="0.2">
      <c r="A475" s="558" t="str">
        <f>A439</f>
        <v>durée de fonctionnement de la climatisation</v>
      </c>
      <c r="B475" s="508" t="str">
        <f>B439</f>
        <v>-</v>
      </c>
      <c r="C475" s="550"/>
      <c r="D475" s="492">
        <v>60</v>
      </c>
      <c r="E475" s="487">
        <v>1.1000000000000001</v>
      </c>
      <c r="F475" s="492">
        <f>D475*E475</f>
        <v>66</v>
      </c>
      <c r="G475" s="586"/>
      <c r="J475" s="452"/>
      <c r="K475" s="452"/>
      <c r="L475" s="490"/>
      <c r="M475" s="477"/>
      <c r="N475" s="477"/>
      <c r="O475" s="477"/>
      <c r="P475" s="477"/>
      <c r="Q475" s="477"/>
      <c r="R475" s="490"/>
      <c r="S475" s="490"/>
    </row>
    <row r="476" spans="1:19" x14ac:dyDescent="0.2">
      <c r="A476" s="467"/>
      <c r="B476" s="508" t="str">
        <f t="shared" ref="B476:C478" si="26">B440</f>
        <v>très faible (environ 1 mois 1/2)</v>
      </c>
      <c r="C476" s="550" t="str">
        <f t="shared" si="26"/>
        <v>kWh / m²</v>
      </c>
      <c r="D476" s="487">
        <v>30</v>
      </c>
      <c r="E476" s="487">
        <v>1.1000000000000001</v>
      </c>
      <c r="F476" s="492">
        <f>D476*E476</f>
        <v>33</v>
      </c>
      <c r="G476" s="586"/>
      <c r="J476" s="452"/>
      <c r="K476" s="452"/>
      <c r="L476" s="490"/>
      <c r="M476" s="477"/>
      <c r="N476" s="477"/>
      <c r="O476" s="477"/>
      <c r="P476" s="477"/>
      <c r="Q476" s="477"/>
      <c r="R476" s="490"/>
      <c r="S476" s="490"/>
    </row>
    <row r="477" spans="1:19" x14ac:dyDescent="0.2">
      <c r="A477" s="467"/>
      <c r="B477" s="508" t="str">
        <f t="shared" si="26"/>
        <v>occasionnelle (environ 3 mois)</v>
      </c>
      <c r="C477" s="550" t="str">
        <f t="shared" si="26"/>
        <v>kWh / m²</v>
      </c>
      <c r="D477" s="487">
        <v>60</v>
      </c>
      <c r="E477" s="487">
        <v>1.1000000000000001</v>
      </c>
      <c r="F477" s="492">
        <f>D477*E477</f>
        <v>66</v>
      </c>
      <c r="G477" s="586"/>
      <c r="J477" s="452"/>
      <c r="K477" s="452"/>
      <c r="L477" s="490"/>
      <c r="M477" s="477"/>
      <c r="N477" s="477"/>
      <c r="O477" s="477"/>
      <c r="P477" s="477"/>
      <c r="Q477" s="477"/>
      <c r="R477" s="490"/>
      <c r="S477" s="490"/>
    </row>
    <row r="478" spans="1:19" x14ac:dyDescent="0.2">
      <c r="A478" s="467"/>
      <c r="B478" s="508" t="str">
        <f t="shared" si="26"/>
        <v>fréquente (environ 6 mois)</v>
      </c>
      <c r="C478" s="550" t="str">
        <f t="shared" si="26"/>
        <v>kWh / m²</v>
      </c>
      <c r="D478" s="487">
        <v>90</v>
      </c>
      <c r="E478" s="487">
        <v>1.1000000000000001</v>
      </c>
      <c r="F478" s="492">
        <f>D478*E478</f>
        <v>99.000000000000014</v>
      </c>
      <c r="G478" s="586"/>
      <c r="J478" s="452"/>
      <c r="K478" s="452"/>
      <c r="L478" s="490"/>
      <c r="M478" s="477"/>
      <c r="N478" s="477"/>
      <c r="O478" s="477"/>
      <c r="P478" s="477"/>
      <c r="Q478" s="477"/>
      <c r="R478" s="490"/>
      <c r="S478" s="490"/>
    </row>
    <row r="479" spans="1:19" x14ac:dyDescent="0.2">
      <c r="A479" s="467" t="s">
        <v>753</v>
      </c>
      <c r="B479" s="508"/>
      <c r="C479" s="550"/>
      <c r="D479" s="487"/>
      <c r="E479" s="487"/>
      <c r="F479" s="492"/>
      <c r="G479" s="586"/>
      <c r="J479" s="452"/>
      <c r="K479" s="452"/>
      <c r="L479" s="490"/>
      <c r="M479" s="477"/>
      <c r="N479" s="477"/>
      <c r="O479" s="477"/>
      <c r="P479" s="477"/>
      <c r="Q479" s="477"/>
      <c r="R479" s="490"/>
      <c r="S479" s="490"/>
    </row>
    <row r="480" spans="1:19" x14ac:dyDescent="0.2">
      <c r="A480" s="558" t="str">
        <f>A444</f>
        <v>durée de fonctionnement de la climatisation</v>
      </c>
      <c r="B480" s="508" t="str">
        <f>B444</f>
        <v>-</v>
      </c>
      <c r="C480" s="550"/>
      <c r="D480" s="492">
        <v>80</v>
      </c>
      <c r="E480" s="487">
        <v>1.1000000000000001</v>
      </c>
      <c r="F480" s="492">
        <f>D480*E480</f>
        <v>88</v>
      </c>
      <c r="G480" s="586"/>
      <c r="J480" s="452"/>
      <c r="K480" s="452"/>
      <c r="L480" s="490"/>
      <c r="M480" s="477"/>
      <c r="N480" s="477"/>
      <c r="O480" s="477"/>
      <c r="P480" s="477"/>
      <c r="Q480" s="477"/>
      <c r="R480" s="490"/>
      <c r="S480" s="490"/>
    </row>
    <row r="481" spans="1:19" x14ac:dyDescent="0.2">
      <c r="A481" s="467"/>
      <c r="B481" s="508" t="str">
        <f t="shared" ref="B481:C483" si="27">B445</f>
        <v>peu fréquente (environ 4 mois)</v>
      </c>
      <c r="C481" s="550" t="str">
        <f t="shared" si="27"/>
        <v>kWh / m²</v>
      </c>
      <c r="D481" s="487">
        <v>40</v>
      </c>
      <c r="E481" s="487">
        <v>1.1000000000000001</v>
      </c>
      <c r="F481" s="492">
        <f>D481*E481</f>
        <v>44</v>
      </c>
      <c r="G481" s="586"/>
      <c r="J481" s="452"/>
      <c r="K481" s="452"/>
      <c r="L481" s="490"/>
      <c r="M481" s="477"/>
      <c r="N481" s="477"/>
      <c r="O481" s="477"/>
      <c r="P481" s="477"/>
      <c r="Q481" s="477"/>
      <c r="R481" s="490"/>
      <c r="S481" s="490"/>
    </row>
    <row r="482" spans="1:19" x14ac:dyDescent="0.2">
      <c r="A482" s="467"/>
      <c r="B482" s="508" t="str">
        <f t="shared" si="27"/>
        <v>fréquente (environ 8 mois)</v>
      </c>
      <c r="C482" s="550" t="str">
        <f t="shared" si="27"/>
        <v>kWh / m²</v>
      </c>
      <c r="D482" s="487">
        <v>80</v>
      </c>
      <c r="E482" s="487">
        <v>1.1000000000000001</v>
      </c>
      <c r="F482" s="492">
        <f>D482*E482</f>
        <v>88</v>
      </c>
      <c r="G482" s="586"/>
      <c r="J482" s="452"/>
      <c r="K482" s="452"/>
      <c r="L482" s="490"/>
      <c r="M482" s="477"/>
      <c r="N482" s="477"/>
      <c r="O482" s="477"/>
      <c r="P482" s="477"/>
      <c r="Q482" s="477"/>
      <c r="R482" s="490"/>
      <c r="S482" s="490"/>
    </row>
    <row r="483" spans="1:19" x14ac:dyDescent="0.2">
      <c r="A483" s="467"/>
      <c r="B483" s="508" t="str">
        <f t="shared" si="27"/>
        <v>permanente (environ 12 mois)</v>
      </c>
      <c r="C483" s="550" t="str">
        <f t="shared" si="27"/>
        <v>kWh / m²</v>
      </c>
      <c r="D483" s="487">
        <v>120</v>
      </c>
      <c r="E483" s="487">
        <v>1.1000000000000001</v>
      </c>
      <c r="F483" s="492">
        <f>D483*E483</f>
        <v>132</v>
      </c>
      <c r="G483" s="586"/>
      <c r="J483" s="452"/>
      <c r="K483" s="452"/>
      <c r="L483" s="490"/>
      <c r="M483" s="477"/>
      <c r="N483" s="477"/>
      <c r="O483" s="477"/>
      <c r="P483" s="477"/>
      <c r="Q483" s="477"/>
      <c r="R483" s="490"/>
      <c r="S483" s="490"/>
    </row>
    <row r="484" spans="1:19" x14ac:dyDescent="0.2">
      <c r="A484" s="467" t="s">
        <v>757</v>
      </c>
      <c r="B484" s="508"/>
      <c r="C484" s="550"/>
      <c r="D484" s="487"/>
      <c r="E484" s="487"/>
      <c r="F484" s="492"/>
      <c r="G484" s="586"/>
      <c r="J484" s="452"/>
      <c r="K484" s="452"/>
      <c r="L484" s="490"/>
      <c r="M484" s="477"/>
      <c r="N484" s="477"/>
      <c r="O484" s="477"/>
      <c r="P484" s="477"/>
      <c r="Q484" s="477"/>
      <c r="R484" s="490"/>
      <c r="S484" s="490"/>
    </row>
    <row r="485" spans="1:19" x14ac:dyDescent="0.2">
      <c r="A485" s="558" t="str">
        <f>A449</f>
        <v>durée de fonctionnement</v>
      </c>
      <c r="B485" s="508" t="str">
        <f>B449</f>
        <v>-</v>
      </c>
      <c r="C485" s="550"/>
      <c r="D485" s="492">
        <v>100</v>
      </c>
      <c r="E485" s="487">
        <v>1.1000000000000001</v>
      </c>
      <c r="F485" s="492">
        <f>D485*E485</f>
        <v>110.00000000000001</v>
      </c>
      <c r="G485" s="586"/>
      <c r="J485" s="452"/>
      <c r="K485" s="452"/>
      <c r="L485" s="490"/>
      <c r="M485" s="477"/>
      <c r="N485" s="477"/>
      <c r="O485" s="477"/>
      <c r="P485" s="477"/>
      <c r="Q485" s="477"/>
      <c r="R485" s="490"/>
      <c r="S485" s="490"/>
    </row>
    <row r="486" spans="1:19" x14ac:dyDescent="0.2">
      <c r="A486" s="467"/>
      <c r="B486" s="508" t="str">
        <f t="shared" ref="B486:C488" si="28">B450</f>
        <v>peu fréquente (environ 4 mois)</v>
      </c>
      <c r="C486" s="550" t="str">
        <f t="shared" si="28"/>
        <v>kWh / m²</v>
      </c>
      <c r="D486" s="487">
        <v>50</v>
      </c>
      <c r="E486" s="487">
        <v>1.1000000000000001</v>
      </c>
      <c r="F486" s="492">
        <f>D486*E486</f>
        <v>55.000000000000007</v>
      </c>
      <c r="G486" s="586"/>
      <c r="J486" s="452"/>
      <c r="K486" s="452"/>
      <c r="L486" s="490"/>
      <c r="M486" s="477"/>
      <c r="N486" s="477"/>
      <c r="O486" s="477"/>
      <c r="P486" s="477"/>
      <c r="Q486" s="477"/>
      <c r="R486" s="490"/>
      <c r="S486" s="490"/>
    </row>
    <row r="487" spans="1:19" x14ac:dyDescent="0.2">
      <c r="A487" s="467"/>
      <c r="B487" s="508" t="str">
        <f t="shared" si="28"/>
        <v>fréquente (environ 8 mois)</v>
      </c>
      <c r="C487" s="550" t="str">
        <f t="shared" si="28"/>
        <v>kWh / m²</v>
      </c>
      <c r="D487" s="487">
        <v>100</v>
      </c>
      <c r="E487" s="487">
        <v>1.1000000000000001</v>
      </c>
      <c r="F487" s="492">
        <f>D487*E487</f>
        <v>110.00000000000001</v>
      </c>
      <c r="G487" s="586"/>
      <c r="J487" s="452"/>
      <c r="K487" s="452"/>
      <c r="L487" s="490"/>
      <c r="M487" s="477"/>
      <c r="N487" s="477"/>
      <c r="O487" s="477"/>
      <c r="P487" s="477"/>
      <c r="Q487" s="477"/>
      <c r="R487" s="490"/>
      <c r="S487" s="490"/>
    </row>
    <row r="488" spans="1:19" x14ac:dyDescent="0.2">
      <c r="A488" s="467"/>
      <c r="B488" s="508" t="str">
        <f t="shared" si="28"/>
        <v>permanente (environ 12 mois)</v>
      </c>
      <c r="C488" s="550" t="str">
        <f t="shared" si="28"/>
        <v>kWh / m²</v>
      </c>
      <c r="D488" s="487">
        <v>150</v>
      </c>
      <c r="E488" s="487">
        <v>1.1000000000000001</v>
      </c>
      <c r="F488" s="492">
        <f>D488*E488</f>
        <v>165</v>
      </c>
      <c r="G488" s="586"/>
      <c r="J488" s="452"/>
      <c r="K488" s="452"/>
      <c r="L488" s="490"/>
      <c r="M488" s="477"/>
      <c r="N488" s="477"/>
      <c r="O488" s="477"/>
      <c r="P488" s="477"/>
      <c r="Q488" s="477"/>
      <c r="R488" s="490"/>
      <c r="S488" s="490"/>
    </row>
    <row r="489" spans="1:19" x14ac:dyDescent="0.2">
      <c r="A489" s="485" t="str">
        <f>'Data-Liste'!F7</f>
        <v>Inconnu (livré en blanc)</v>
      </c>
      <c r="B489" s="486"/>
      <c r="C489" s="487"/>
      <c r="D489" s="487"/>
      <c r="E489" s="487"/>
      <c r="F489" s="487"/>
      <c r="G489" s="586"/>
      <c r="J489" s="452"/>
      <c r="K489" s="452"/>
      <c r="L489" s="490"/>
      <c r="M489" s="477"/>
      <c r="N489" s="477"/>
      <c r="O489" s="477"/>
      <c r="P489" s="477"/>
      <c r="Q489" s="477"/>
      <c r="R489" s="490"/>
      <c r="S489" s="490"/>
    </row>
    <row r="490" spans="1:19" x14ac:dyDescent="0.2">
      <c r="A490" s="467" t="s">
        <v>748</v>
      </c>
      <c r="B490" s="486"/>
      <c r="C490" s="487"/>
      <c r="D490" s="487"/>
      <c r="E490" s="487"/>
      <c r="F490" s="487"/>
      <c r="G490" s="586"/>
      <c r="J490" s="452"/>
      <c r="K490" s="452"/>
      <c r="L490" s="490"/>
      <c r="M490" s="477"/>
      <c r="N490" s="477"/>
      <c r="O490" s="477"/>
      <c r="P490" s="477"/>
      <c r="Q490" s="477"/>
      <c r="R490" s="490"/>
      <c r="S490" s="490"/>
    </row>
    <row r="491" spans="1:19" x14ac:dyDescent="0.2">
      <c r="A491" s="467"/>
      <c r="B491" s="486" t="s">
        <v>747</v>
      </c>
      <c r="C491" s="487" t="s">
        <v>715</v>
      </c>
      <c r="D491" s="487">
        <v>15</v>
      </c>
      <c r="E491" s="487">
        <v>1.1000000000000001</v>
      </c>
      <c r="F491" s="487">
        <f>D491*E491</f>
        <v>16.5</v>
      </c>
      <c r="G491" s="586"/>
      <c r="J491" s="452"/>
      <c r="K491" s="452"/>
      <c r="L491" s="490"/>
      <c r="M491" s="477"/>
      <c r="N491" s="477"/>
      <c r="O491" s="477"/>
      <c r="P491" s="477"/>
      <c r="Q491" s="477"/>
      <c r="R491" s="490"/>
      <c r="S491" s="490"/>
    </row>
    <row r="492" spans="1:19" x14ac:dyDescent="0.2">
      <c r="A492" s="467" t="s">
        <v>749</v>
      </c>
      <c r="B492" s="486"/>
      <c r="C492" s="487"/>
      <c r="D492" s="487"/>
      <c r="E492" s="487"/>
      <c r="F492" s="487"/>
      <c r="G492" s="586"/>
      <c r="J492" s="452"/>
      <c r="K492" s="452"/>
      <c r="L492" s="490"/>
      <c r="M492" s="477"/>
      <c r="N492" s="477"/>
      <c r="O492" s="477"/>
      <c r="P492" s="477"/>
      <c r="Q492" s="477"/>
      <c r="R492" s="490"/>
      <c r="S492" s="490"/>
    </row>
    <row r="493" spans="1:19" x14ac:dyDescent="0.2">
      <c r="A493" s="558" t="str">
        <f>A457</f>
        <v>durée de fonctionnement de la climatisation</v>
      </c>
      <c r="B493" s="508" t="str">
        <f>B457</f>
        <v>-</v>
      </c>
      <c r="C493" s="550"/>
      <c r="D493" s="492">
        <v>60</v>
      </c>
      <c r="E493" s="487">
        <v>1.1000000000000001</v>
      </c>
      <c r="F493" s="492">
        <f>D493*E493</f>
        <v>66</v>
      </c>
      <c r="G493" s="586"/>
      <c r="J493" s="452"/>
      <c r="K493" s="452"/>
      <c r="L493" s="490"/>
      <c r="M493" s="477"/>
      <c r="N493" s="477"/>
      <c r="O493" s="477"/>
      <c r="P493" s="477"/>
      <c r="Q493" s="477"/>
      <c r="R493" s="490"/>
      <c r="S493" s="490"/>
    </row>
    <row r="494" spans="1:19" x14ac:dyDescent="0.2">
      <c r="A494" s="467"/>
      <c r="B494" s="508" t="str">
        <f t="shared" ref="B494:C496" si="29">B458</f>
        <v>très faible (environ 1 mois 1/2)</v>
      </c>
      <c r="C494" s="550" t="str">
        <f t="shared" si="29"/>
        <v>kWh / m²</v>
      </c>
      <c r="D494" s="487">
        <v>30</v>
      </c>
      <c r="E494" s="487">
        <v>1.1000000000000001</v>
      </c>
      <c r="F494" s="492">
        <f>D494*E494</f>
        <v>33</v>
      </c>
      <c r="G494" s="586"/>
      <c r="J494" s="452"/>
      <c r="K494" s="452"/>
      <c r="L494" s="490"/>
      <c r="M494" s="477"/>
      <c r="N494" s="477"/>
      <c r="O494" s="477"/>
      <c r="P494" s="477"/>
      <c r="Q494" s="477"/>
      <c r="R494" s="490"/>
      <c r="S494" s="490"/>
    </row>
    <row r="495" spans="1:19" x14ac:dyDescent="0.2">
      <c r="A495" s="467"/>
      <c r="B495" s="508" t="str">
        <f t="shared" si="29"/>
        <v>occasionnelle (environ 3 mois)</v>
      </c>
      <c r="C495" s="550" t="str">
        <f t="shared" si="29"/>
        <v>kWh / m²</v>
      </c>
      <c r="D495" s="487">
        <v>60</v>
      </c>
      <c r="E495" s="487">
        <v>1.1000000000000001</v>
      </c>
      <c r="F495" s="492">
        <f>D495*E495</f>
        <v>66</v>
      </c>
      <c r="G495" s="586"/>
      <c r="J495" s="452"/>
      <c r="K495" s="452"/>
      <c r="L495" s="490"/>
      <c r="M495" s="477"/>
      <c r="N495" s="477"/>
      <c r="O495" s="477"/>
      <c r="P495" s="477"/>
      <c r="Q495" s="477"/>
      <c r="R495" s="490"/>
      <c r="S495" s="490"/>
    </row>
    <row r="496" spans="1:19" x14ac:dyDescent="0.2">
      <c r="A496" s="467"/>
      <c r="B496" s="508" t="str">
        <f t="shared" si="29"/>
        <v>fréquente (environ 6 mois)</v>
      </c>
      <c r="C496" s="550" t="str">
        <f t="shared" si="29"/>
        <v>kWh / m²</v>
      </c>
      <c r="D496" s="487">
        <v>90</v>
      </c>
      <c r="E496" s="487">
        <v>1.1000000000000001</v>
      </c>
      <c r="F496" s="492">
        <f>D496*E496</f>
        <v>99.000000000000014</v>
      </c>
      <c r="G496" s="586"/>
      <c r="J496" s="452"/>
      <c r="K496" s="452"/>
      <c r="L496" s="490"/>
      <c r="M496" s="477"/>
      <c r="N496" s="477"/>
      <c r="O496" s="477"/>
      <c r="P496" s="477"/>
      <c r="Q496" s="477"/>
      <c r="R496" s="490"/>
      <c r="S496" s="490"/>
    </row>
    <row r="497" spans="1:19" x14ac:dyDescent="0.2">
      <c r="A497" s="467" t="s">
        <v>753</v>
      </c>
      <c r="B497" s="508"/>
      <c r="C497" s="550"/>
      <c r="D497" s="487"/>
      <c r="E497" s="487"/>
      <c r="F497" s="492"/>
      <c r="G497" s="586"/>
      <c r="J497" s="452"/>
      <c r="K497" s="452"/>
      <c r="L497" s="490"/>
      <c r="M497" s="477"/>
      <c r="N497" s="477"/>
      <c r="O497" s="477"/>
      <c r="P497" s="477"/>
      <c r="Q497" s="477"/>
      <c r="R497" s="490"/>
      <c r="S497" s="490"/>
    </row>
    <row r="498" spans="1:19" x14ac:dyDescent="0.2">
      <c r="A498" s="558" t="str">
        <f>A462</f>
        <v>durée de fonctionnement de la climatisation</v>
      </c>
      <c r="B498" s="508" t="str">
        <f>B462</f>
        <v>-</v>
      </c>
      <c r="C498" s="550"/>
      <c r="D498" s="492">
        <v>80</v>
      </c>
      <c r="E498" s="487">
        <v>1.1000000000000001</v>
      </c>
      <c r="F498" s="492">
        <f>D498*E498</f>
        <v>88</v>
      </c>
      <c r="G498" s="586"/>
      <c r="J498" s="452"/>
      <c r="K498" s="452"/>
      <c r="L498" s="490"/>
      <c r="M498" s="477"/>
      <c r="N498" s="477"/>
      <c r="O498" s="477"/>
      <c r="P498" s="477"/>
      <c r="Q498" s="477"/>
      <c r="R498" s="490"/>
      <c r="S498" s="490"/>
    </row>
    <row r="499" spans="1:19" x14ac:dyDescent="0.2">
      <c r="A499" s="467"/>
      <c r="B499" s="508" t="str">
        <f t="shared" ref="B499:C501" si="30">B463</f>
        <v>peu fréquente (environ 4 mois)</v>
      </c>
      <c r="C499" s="550" t="str">
        <f t="shared" si="30"/>
        <v>kWh / m²</v>
      </c>
      <c r="D499" s="487">
        <v>40</v>
      </c>
      <c r="E499" s="487">
        <v>1.1000000000000001</v>
      </c>
      <c r="F499" s="492">
        <f>D499*E499</f>
        <v>44</v>
      </c>
      <c r="G499" s="586"/>
      <c r="J499" s="452"/>
      <c r="K499" s="452"/>
      <c r="L499" s="490"/>
      <c r="M499" s="477"/>
      <c r="N499" s="477"/>
      <c r="O499" s="477"/>
      <c r="P499" s="477"/>
      <c r="Q499" s="477"/>
      <c r="R499" s="490"/>
      <c r="S499" s="490"/>
    </row>
    <row r="500" spans="1:19" x14ac:dyDescent="0.2">
      <c r="A500" s="467"/>
      <c r="B500" s="508" t="str">
        <f t="shared" si="30"/>
        <v>fréquente (environ 8 mois)</v>
      </c>
      <c r="C500" s="550" t="str">
        <f t="shared" si="30"/>
        <v>kWh / m²</v>
      </c>
      <c r="D500" s="487">
        <v>80</v>
      </c>
      <c r="E500" s="487">
        <v>1.1000000000000001</v>
      </c>
      <c r="F500" s="492">
        <f>D500*E500</f>
        <v>88</v>
      </c>
      <c r="G500" s="586"/>
      <c r="J500" s="452"/>
      <c r="K500" s="452"/>
      <c r="L500" s="490"/>
      <c r="M500" s="477"/>
      <c r="N500" s="477"/>
      <c r="O500" s="477"/>
      <c r="P500" s="477"/>
      <c r="Q500" s="477"/>
      <c r="R500" s="490"/>
      <c r="S500" s="490"/>
    </row>
    <row r="501" spans="1:19" x14ac:dyDescent="0.2">
      <c r="A501" s="467"/>
      <c r="B501" s="508" t="str">
        <f t="shared" si="30"/>
        <v>permanente (environ 12 mois)</v>
      </c>
      <c r="C501" s="550" t="str">
        <f t="shared" si="30"/>
        <v>kWh / m²</v>
      </c>
      <c r="D501" s="487">
        <v>120</v>
      </c>
      <c r="E501" s="487">
        <v>1.1000000000000001</v>
      </c>
      <c r="F501" s="492">
        <f>D501*E501</f>
        <v>132</v>
      </c>
      <c r="G501" s="586"/>
      <c r="J501" s="452"/>
      <c r="K501" s="452"/>
      <c r="L501" s="490"/>
      <c r="M501" s="477"/>
      <c r="N501" s="477"/>
      <c r="O501" s="477"/>
      <c r="P501" s="477"/>
      <c r="Q501" s="477"/>
      <c r="R501" s="490"/>
      <c r="S501" s="490"/>
    </row>
    <row r="502" spans="1:19" x14ac:dyDescent="0.2">
      <c r="A502" s="467" t="s">
        <v>757</v>
      </c>
      <c r="B502" s="508"/>
      <c r="C502" s="550"/>
      <c r="D502" s="487"/>
      <c r="E502" s="487"/>
      <c r="F502" s="492"/>
      <c r="G502" s="586"/>
      <c r="J502" s="452"/>
      <c r="K502" s="452"/>
      <c r="L502" s="490"/>
      <c r="M502" s="477"/>
      <c r="N502" s="477"/>
      <c r="O502" s="477"/>
      <c r="P502" s="477"/>
      <c r="Q502" s="477"/>
      <c r="R502" s="490"/>
      <c r="S502" s="490"/>
    </row>
    <row r="503" spans="1:19" x14ac:dyDescent="0.2">
      <c r="A503" s="558" t="str">
        <f>A467</f>
        <v>durée de fonctionnement</v>
      </c>
      <c r="B503" s="508" t="str">
        <f>B467</f>
        <v>-</v>
      </c>
      <c r="C503" s="550"/>
      <c r="D503" s="492">
        <v>100</v>
      </c>
      <c r="E503" s="487">
        <v>1.1000000000000001</v>
      </c>
      <c r="F503" s="492">
        <f>D503*E503</f>
        <v>110.00000000000001</v>
      </c>
      <c r="G503" s="586"/>
      <c r="J503" s="452"/>
      <c r="K503" s="452"/>
      <c r="L503" s="490"/>
      <c r="M503" s="477"/>
      <c r="N503" s="477"/>
      <c r="O503" s="477"/>
      <c r="P503" s="477"/>
      <c r="Q503" s="477"/>
      <c r="R503" s="490"/>
      <c r="S503" s="490"/>
    </row>
    <row r="504" spans="1:19" x14ac:dyDescent="0.2">
      <c r="A504" s="467"/>
      <c r="B504" s="508" t="str">
        <f t="shared" ref="B504:C506" si="31">B468</f>
        <v>peu fréquente (environ 4 mois)</v>
      </c>
      <c r="C504" s="550" t="str">
        <f t="shared" si="31"/>
        <v>kWh / m²</v>
      </c>
      <c r="D504" s="487">
        <v>50</v>
      </c>
      <c r="E504" s="487">
        <v>1.1000000000000001</v>
      </c>
      <c r="F504" s="492">
        <f>D504*E504</f>
        <v>55.000000000000007</v>
      </c>
      <c r="G504" s="586"/>
      <c r="J504" s="452"/>
      <c r="K504" s="452"/>
      <c r="L504" s="490"/>
      <c r="M504" s="477"/>
      <c r="N504" s="477"/>
      <c r="O504" s="477"/>
      <c r="P504" s="477"/>
      <c r="Q504" s="477"/>
      <c r="R504" s="490"/>
      <c r="S504" s="490"/>
    </row>
    <row r="505" spans="1:19" x14ac:dyDescent="0.2">
      <c r="A505" s="467"/>
      <c r="B505" s="508" t="str">
        <f t="shared" si="31"/>
        <v>fréquente (environ 8 mois)</v>
      </c>
      <c r="C505" s="550" t="str">
        <f t="shared" si="31"/>
        <v>kWh / m²</v>
      </c>
      <c r="D505" s="487">
        <v>100</v>
      </c>
      <c r="E505" s="487">
        <v>1.1000000000000001</v>
      </c>
      <c r="F505" s="492">
        <f>D505*E505</f>
        <v>110.00000000000001</v>
      </c>
      <c r="G505" s="586"/>
      <c r="J505" s="452"/>
      <c r="K505" s="452"/>
      <c r="L505" s="490"/>
      <c r="M505" s="477"/>
      <c r="N505" s="477"/>
      <c r="O505" s="477"/>
      <c r="P505" s="477"/>
      <c r="Q505" s="477"/>
      <c r="R505" s="490"/>
      <c r="S505" s="490"/>
    </row>
    <row r="506" spans="1:19" x14ac:dyDescent="0.2">
      <c r="A506" s="467"/>
      <c r="B506" s="508" t="str">
        <f t="shared" si="31"/>
        <v>permanente (environ 12 mois)</v>
      </c>
      <c r="C506" s="550" t="str">
        <f t="shared" si="31"/>
        <v>kWh / m²</v>
      </c>
      <c r="D506" s="487">
        <v>150</v>
      </c>
      <c r="E506" s="487">
        <v>1.1000000000000001</v>
      </c>
      <c r="F506" s="492">
        <f>D506*E506</f>
        <v>165</v>
      </c>
      <c r="G506" s="586"/>
      <c r="J506" s="452"/>
      <c r="K506" s="452"/>
      <c r="L506" s="490"/>
      <c r="M506" s="477"/>
      <c r="N506" s="477"/>
      <c r="O506" s="477"/>
      <c r="P506" s="477"/>
      <c r="Q506" s="477"/>
      <c r="R506" s="490"/>
      <c r="S506" s="490"/>
    </row>
    <row r="507" spans="1:19" x14ac:dyDescent="0.2">
      <c r="A507" s="467" t="s">
        <v>172</v>
      </c>
      <c r="B507" s="486" t="s">
        <v>494</v>
      </c>
      <c r="C507" s="487" t="s">
        <v>495</v>
      </c>
      <c r="D507" s="509">
        <v>0.4</v>
      </c>
      <c r="E507" s="487"/>
      <c r="F507" s="487"/>
      <c r="G507" s="487"/>
      <c r="J507" s="452"/>
      <c r="K507" s="452"/>
      <c r="L507" s="490"/>
      <c r="M507" s="477"/>
      <c r="N507" s="477"/>
      <c r="O507" s="477"/>
      <c r="P507" s="477"/>
      <c r="Q507" s="477"/>
      <c r="R507" s="490"/>
      <c r="S507" s="490"/>
    </row>
    <row r="508" spans="1:19" ht="16.5" customHeight="1" x14ac:dyDescent="0.2">
      <c r="A508" s="568" t="s">
        <v>759</v>
      </c>
      <c r="B508" s="569"/>
      <c r="C508" s="570"/>
      <c r="D508" s="570"/>
      <c r="E508" s="570"/>
      <c r="F508" s="570"/>
      <c r="G508" s="571"/>
      <c r="H508" s="572"/>
      <c r="I508" s="572"/>
      <c r="J508" s="572"/>
      <c r="K508" s="572"/>
      <c r="L508" s="490"/>
      <c r="M508" s="477"/>
      <c r="N508" s="477"/>
      <c r="O508" s="477"/>
      <c r="P508" s="477"/>
      <c r="Q508" s="477"/>
      <c r="R508" s="490"/>
      <c r="S508" s="490"/>
    </row>
    <row r="509" spans="1:19" x14ac:dyDescent="0.2">
      <c r="A509" s="485" t="s">
        <v>12</v>
      </c>
      <c r="B509" s="486"/>
      <c r="C509" s="487"/>
      <c r="D509" s="487"/>
      <c r="E509" s="493"/>
      <c r="F509" s="493"/>
      <c r="G509" s="549"/>
      <c r="I509" s="592" t="str">
        <f>I$353</f>
        <v>T1</v>
      </c>
      <c r="J509" s="593" t="str">
        <f>J$353</f>
        <v>T2</v>
      </c>
      <c r="K509" s="593" t="str">
        <f>K$353</f>
        <v>T3</v>
      </c>
      <c r="L509" s="593" t="str">
        <f>L$353</f>
        <v>T4</v>
      </c>
      <c r="M509" s="594" t="str">
        <f>M$353</f>
        <v>T5 et +</v>
      </c>
      <c r="N509" s="477"/>
      <c r="O509" s="477"/>
      <c r="P509" s="477"/>
      <c r="Q509" s="477"/>
      <c r="R509" s="490"/>
      <c r="S509" s="490"/>
    </row>
    <row r="510" spans="1:19" x14ac:dyDescent="0.2">
      <c r="A510" s="467" t="s">
        <v>108</v>
      </c>
      <c r="B510" s="486"/>
      <c r="C510" s="487"/>
      <c r="D510" s="487"/>
      <c r="E510" s="493"/>
      <c r="F510" s="493"/>
      <c r="G510" s="549"/>
      <c r="I510" s="597"/>
      <c r="J510" s="452"/>
      <c r="K510" s="452"/>
      <c r="L510" s="490"/>
      <c r="M510" s="598"/>
      <c r="N510" s="477"/>
      <c r="O510" s="477"/>
      <c r="P510" s="477"/>
      <c r="Q510" s="477"/>
      <c r="R510" s="490"/>
      <c r="S510" s="490"/>
    </row>
    <row r="511" spans="1:19" x14ac:dyDescent="0.2">
      <c r="A511" s="467" t="s">
        <v>281</v>
      </c>
      <c r="B511" s="486" t="s">
        <v>139</v>
      </c>
      <c r="C511" s="487"/>
      <c r="D511" s="492">
        <v>4</v>
      </c>
      <c r="E511" s="487">
        <v>1</v>
      </c>
      <c r="F511" s="581">
        <f>D511*E511</f>
        <v>4</v>
      </c>
      <c r="G511" s="549"/>
      <c r="I511" s="597"/>
      <c r="J511" s="452"/>
      <c r="K511" s="452"/>
      <c r="L511" s="490"/>
      <c r="M511" s="598"/>
      <c r="N511" s="477"/>
      <c r="O511" s="477"/>
      <c r="P511" s="477"/>
      <c r="Q511" s="477"/>
      <c r="R511" s="490"/>
      <c r="S511" s="490"/>
    </row>
    <row r="512" spans="1:19" x14ac:dyDescent="0.2">
      <c r="A512" s="467"/>
      <c r="B512" s="486" t="s">
        <v>733</v>
      </c>
      <c r="C512" s="487" t="s">
        <v>715</v>
      </c>
      <c r="D512" s="581">
        <f>D513*1.2</f>
        <v>4.2517433167872785</v>
      </c>
      <c r="E512" s="487">
        <v>1</v>
      </c>
      <c r="F512" s="581">
        <f>D512*E512</f>
        <v>4.2517433167872785</v>
      </c>
      <c r="G512" s="549"/>
      <c r="I512" s="499"/>
      <c r="J512" s="475"/>
      <c r="K512" s="475"/>
      <c r="L512" s="490"/>
      <c r="M512" s="502"/>
      <c r="N512" s="477"/>
      <c r="O512" s="477"/>
      <c r="P512" s="477"/>
      <c r="Q512" s="477"/>
      <c r="R512" s="490"/>
      <c r="S512" s="490"/>
    </row>
    <row r="513" spans="1:19" x14ac:dyDescent="0.2">
      <c r="A513" s="467"/>
      <c r="B513" s="486" t="s">
        <v>734</v>
      </c>
      <c r="C513" s="487" t="s">
        <v>715</v>
      </c>
      <c r="D513" s="581">
        <f>IF(N$355=0,0,SUMPRODUCT(I$354:M$354,I513:M513)/N$355)</f>
        <v>3.5431194306560658</v>
      </c>
      <c r="E513" s="487">
        <v>1</v>
      </c>
      <c r="F513" s="581">
        <f>D513*E513</f>
        <v>3.5431194306560658</v>
      </c>
      <c r="G513" s="549"/>
      <c r="I513" s="579">
        <v>171.3</v>
      </c>
      <c r="J513" s="580">
        <v>190.09411764705899</v>
      </c>
      <c r="K513" s="580">
        <v>257.584782608696</v>
      </c>
      <c r="L513" s="506">
        <v>264.03409090909099</v>
      </c>
      <c r="M513" s="507">
        <v>300.47272727272701</v>
      </c>
      <c r="N513" s="477"/>
      <c r="O513" s="477"/>
      <c r="P513" s="477"/>
      <c r="Q513" s="477"/>
      <c r="R513" s="490"/>
      <c r="S513" s="490"/>
    </row>
    <row r="514" spans="1:19" x14ac:dyDescent="0.2">
      <c r="A514" s="467"/>
      <c r="B514" s="486" t="s">
        <v>735</v>
      </c>
      <c r="C514" s="487" t="s">
        <v>715</v>
      </c>
      <c r="D514" s="581">
        <f>D513*0.8</f>
        <v>2.8344955445248528</v>
      </c>
      <c r="E514" s="487">
        <v>1</v>
      </c>
      <c r="F514" s="581">
        <f>D514*E514</f>
        <v>2.8344955445248528</v>
      </c>
      <c r="G514" s="549"/>
      <c r="J514" s="452"/>
      <c r="K514" s="452"/>
      <c r="L514" s="490"/>
      <c r="M514" s="477"/>
      <c r="N514" s="477"/>
      <c r="O514" s="477"/>
      <c r="P514" s="477"/>
      <c r="Q514" s="477"/>
      <c r="R514" s="490"/>
      <c r="S514" s="490"/>
    </row>
    <row r="515" spans="1:19" x14ac:dyDescent="0.2">
      <c r="A515" s="467" t="s">
        <v>760</v>
      </c>
      <c r="B515" s="486"/>
      <c r="C515" s="487"/>
      <c r="D515" s="487"/>
      <c r="E515" s="487"/>
      <c r="F515" s="487"/>
      <c r="G515" s="549"/>
      <c r="J515" s="452"/>
      <c r="K515" s="452"/>
      <c r="L515" s="490"/>
      <c r="M515" s="477"/>
      <c r="N515" s="477"/>
      <c r="O515" s="477"/>
      <c r="P515" s="477"/>
      <c r="Q515" s="477"/>
      <c r="R515" s="490"/>
      <c r="S515" s="490"/>
    </row>
    <row r="516" spans="1:19" x14ac:dyDescent="0.2">
      <c r="A516" s="467" t="s">
        <v>281</v>
      </c>
      <c r="B516" s="486" t="s">
        <v>139</v>
      </c>
      <c r="C516" s="487"/>
      <c r="D516" s="492">
        <v>3</v>
      </c>
      <c r="E516" s="487">
        <v>1</v>
      </c>
      <c r="F516" s="584">
        <f>D516*E516</f>
        <v>3</v>
      </c>
      <c r="G516" s="549"/>
      <c r="J516" s="452"/>
      <c r="K516" s="452"/>
      <c r="L516" s="490"/>
      <c r="M516" s="477"/>
      <c r="N516" s="477"/>
      <c r="O516" s="477"/>
      <c r="P516" s="477"/>
      <c r="Q516" s="477"/>
      <c r="R516" s="490"/>
      <c r="S516" s="490"/>
    </row>
    <row r="517" spans="1:19" x14ac:dyDescent="0.2">
      <c r="A517" s="467"/>
      <c r="B517" s="486" t="s">
        <v>733</v>
      </c>
      <c r="C517" s="487" t="s">
        <v>715</v>
      </c>
      <c r="D517" s="581">
        <f>D518*1.2</f>
        <v>3.6324000000000001</v>
      </c>
      <c r="E517" s="487">
        <v>1</v>
      </c>
      <c r="F517" s="584">
        <f>D517*E517</f>
        <v>3.6324000000000001</v>
      </c>
      <c r="G517" s="549"/>
      <c r="J517" s="452"/>
      <c r="K517" s="452"/>
      <c r="L517" s="490"/>
      <c r="M517" s="477"/>
      <c r="N517" s="477"/>
      <c r="O517" s="477"/>
      <c r="P517" s="477"/>
      <c r="Q517" s="477"/>
      <c r="R517" s="490"/>
      <c r="S517" s="490"/>
    </row>
    <row r="518" spans="1:19" x14ac:dyDescent="0.2">
      <c r="A518" s="467"/>
      <c r="B518" s="486" t="s">
        <v>734</v>
      </c>
      <c r="C518" s="487" t="s">
        <v>715</v>
      </c>
      <c r="D518" s="584">
        <v>3.0270000000000001</v>
      </c>
      <c r="E518" s="487">
        <v>1</v>
      </c>
      <c r="F518" s="584">
        <f>D518*E518</f>
        <v>3.0270000000000001</v>
      </c>
      <c r="G518" s="549"/>
      <c r="J518" s="452"/>
      <c r="K518" s="452"/>
      <c r="L518" s="490"/>
      <c r="M518" s="477"/>
      <c r="N518" s="477"/>
      <c r="O518" s="477"/>
      <c r="P518" s="477"/>
      <c r="Q518" s="477"/>
      <c r="R518" s="490"/>
      <c r="S518" s="490"/>
    </row>
    <row r="519" spans="1:19" x14ac:dyDescent="0.2">
      <c r="A519" s="467"/>
      <c r="B519" s="486" t="s">
        <v>735</v>
      </c>
      <c r="C519" s="487" t="s">
        <v>715</v>
      </c>
      <c r="D519" s="581">
        <f>D518*1.2</f>
        <v>3.6324000000000001</v>
      </c>
      <c r="E519" s="487">
        <v>1</v>
      </c>
      <c r="F519" s="584">
        <f>D519*E519</f>
        <v>3.6324000000000001</v>
      </c>
      <c r="G519" s="549"/>
      <c r="J519" s="452"/>
      <c r="K519" s="452"/>
      <c r="L519" s="490"/>
      <c r="M519" s="477"/>
      <c r="N519" s="477"/>
      <c r="O519" s="477"/>
      <c r="P519" s="477"/>
      <c r="Q519" s="477"/>
      <c r="R519" s="490"/>
      <c r="S519" s="490"/>
    </row>
    <row r="520" spans="1:19" x14ac:dyDescent="0.2">
      <c r="A520" s="467" t="s">
        <v>172</v>
      </c>
      <c r="B520" s="486" t="s">
        <v>494</v>
      </c>
      <c r="C520" s="487" t="s">
        <v>495</v>
      </c>
      <c r="D520" s="509">
        <v>0.6</v>
      </c>
      <c r="E520" s="487"/>
      <c r="F520" s="487"/>
      <c r="G520" s="487"/>
      <c r="J520" s="452"/>
      <c r="K520" s="452"/>
      <c r="L520" s="490"/>
      <c r="M520" s="477"/>
      <c r="N520" s="477"/>
      <c r="O520" s="477"/>
      <c r="P520" s="477"/>
      <c r="Q520" s="477"/>
      <c r="R520" s="490"/>
      <c r="S520" s="490"/>
    </row>
    <row r="521" spans="1:19" x14ac:dyDescent="0.2">
      <c r="A521" s="485" t="s">
        <v>15</v>
      </c>
      <c r="B521" s="486"/>
      <c r="C521" s="487"/>
      <c r="D521" s="487"/>
      <c r="E521" s="487"/>
      <c r="F521" s="487"/>
      <c r="G521" s="549"/>
      <c r="J521" s="452"/>
      <c r="K521" s="452"/>
      <c r="L521" s="490"/>
      <c r="M521" s="477"/>
      <c r="N521" s="477"/>
      <c r="O521" s="477"/>
      <c r="P521" s="477"/>
      <c r="Q521" s="477"/>
      <c r="R521" s="490"/>
      <c r="S521" s="490"/>
    </row>
    <row r="522" spans="1:19" x14ac:dyDescent="0.2">
      <c r="A522" s="467" t="s">
        <v>761</v>
      </c>
      <c r="B522" s="486"/>
      <c r="C522" s="487"/>
      <c r="D522" s="487"/>
      <c r="E522" s="487"/>
      <c r="F522" s="487"/>
      <c r="G522" s="549"/>
      <c r="J522" s="452"/>
      <c r="K522" s="452"/>
      <c r="L522" s="490"/>
      <c r="M522" s="477"/>
      <c r="N522" s="477"/>
      <c r="O522" s="477"/>
      <c r="P522" s="477"/>
      <c r="Q522" s="477"/>
      <c r="R522" s="490"/>
      <c r="S522" s="490"/>
    </row>
    <row r="523" spans="1:19" x14ac:dyDescent="0.2">
      <c r="A523" s="467" t="s">
        <v>281</v>
      </c>
      <c r="B523" s="486" t="s">
        <v>139</v>
      </c>
      <c r="C523" s="487"/>
      <c r="D523" s="492">
        <v>12</v>
      </c>
      <c r="E523" s="487">
        <v>1</v>
      </c>
      <c r="F523" s="487">
        <f>D523*E523</f>
        <v>12</v>
      </c>
      <c r="G523" s="549"/>
    </row>
    <row r="524" spans="1:19" x14ac:dyDescent="0.2">
      <c r="A524" s="467"/>
      <c r="B524" s="486" t="s">
        <v>733</v>
      </c>
      <c r="C524" s="487" t="s">
        <v>715</v>
      </c>
      <c r="D524" s="487">
        <v>15</v>
      </c>
      <c r="E524" s="487">
        <v>1</v>
      </c>
      <c r="F524" s="487">
        <f>D524*E524</f>
        <v>15</v>
      </c>
      <c r="G524" s="549"/>
      <c r="I524" s="452">
        <v>5</v>
      </c>
    </row>
    <row r="525" spans="1:19" x14ac:dyDescent="0.2">
      <c r="A525" s="467"/>
      <c r="B525" s="486" t="s">
        <v>734</v>
      </c>
      <c r="C525" s="487" t="s">
        <v>715</v>
      </c>
      <c r="D525" s="487">
        <v>12</v>
      </c>
      <c r="E525" s="487">
        <v>1</v>
      </c>
      <c r="F525" s="487">
        <f>D525*E525</f>
        <v>12</v>
      </c>
      <c r="G525" s="549"/>
      <c r="I525" s="452">
        <v>4</v>
      </c>
    </row>
    <row r="526" spans="1:19" x14ac:dyDescent="0.2">
      <c r="A526" s="467"/>
      <c r="B526" s="486" t="s">
        <v>735</v>
      </c>
      <c r="C526" s="487" t="s">
        <v>715</v>
      </c>
      <c r="D526" s="487">
        <v>10</v>
      </c>
      <c r="E526" s="487">
        <v>1</v>
      </c>
      <c r="F526" s="487">
        <f>D526*E526</f>
        <v>10</v>
      </c>
      <c r="G526" s="549"/>
      <c r="I526" s="452">
        <v>3</v>
      </c>
    </row>
    <row r="527" spans="1:19" x14ac:dyDescent="0.2">
      <c r="A527" s="467" t="s">
        <v>762</v>
      </c>
      <c r="B527" s="486"/>
      <c r="C527" s="487"/>
      <c r="D527" s="487"/>
      <c r="E527" s="487"/>
      <c r="F527" s="487"/>
      <c r="G527" s="549"/>
    </row>
    <row r="528" spans="1:19" x14ac:dyDescent="0.2">
      <c r="A528" s="467" t="s">
        <v>281</v>
      </c>
      <c r="B528" s="486" t="s">
        <v>139</v>
      </c>
      <c r="C528" s="487"/>
      <c r="D528" s="492">
        <v>24</v>
      </c>
      <c r="E528" s="487">
        <v>1</v>
      </c>
      <c r="F528" s="487">
        <f t="shared" ref="F528:F536" si="32">D528*E528</f>
        <v>24</v>
      </c>
      <c r="G528" s="549"/>
    </row>
    <row r="529" spans="1:11" x14ac:dyDescent="0.2">
      <c r="A529" s="467"/>
      <c r="B529" s="486" t="s">
        <v>733</v>
      </c>
      <c r="C529" s="487" t="s">
        <v>715</v>
      </c>
      <c r="D529" s="487">
        <v>30</v>
      </c>
      <c r="E529" s="487">
        <v>1</v>
      </c>
      <c r="F529" s="487">
        <f t="shared" si="32"/>
        <v>30</v>
      </c>
      <c r="G529" s="549"/>
      <c r="I529" s="452">
        <v>50</v>
      </c>
    </row>
    <row r="530" spans="1:11" x14ac:dyDescent="0.2">
      <c r="A530" s="467"/>
      <c r="B530" s="486" t="s">
        <v>734</v>
      </c>
      <c r="C530" s="487" t="s">
        <v>715</v>
      </c>
      <c r="D530" s="487">
        <v>24</v>
      </c>
      <c r="E530" s="487">
        <v>1</v>
      </c>
      <c r="F530" s="487">
        <f t="shared" si="32"/>
        <v>24</v>
      </c>
      <c r="G530" s="549"/>
      <c r="I530" s="452">
        <v>40</v>
      </c>
    </row>
    <row r="531" spans="1:11" x14ac:dyDescent="0.2">
      <c r="A531" s="467"/>
      <c r="B531" s="486" t="s">
        <v>735</v>
      </c>
      <c r="C531" s="487" t="s">
        <v>715</v>
      </c>
      <c r="D531" s="487">
        <v>20</v>
      </c>
      <c r="E531" s="487">
        <v>1</v>
      </c>
      <c r="F531" s="487">
        <f t="shared" si="32"/>
        <v>20</v>
      </c>
      <c r="G531" s="549"/>
      <c r="I531" s="452">
        <v>30</v>
      </c>
    </row>
    <row r="532" spans="1:11" x14ac:dyDescent="0.2">
      <c r="A532" s="467" t="s">
        <v>285</v>
      </c>
      <c r="B532" s="486" t="s">
        <v>139</v>
      </c>
      <c r="C532" s="487"/>
      <c r="D532" s="492">
        <v>0</v>
      </c>
      <c r="E532" s="487">
        <v>1</v>
      </c>
      <c r="F532" s="487">
        <f t="shared" si="32"/>
        <v>0</v>
      </c>
      <c r="G532" s="549"/>
    </row>
    <row r="533" spans="1:11" x14ac:dyDescent="0.2">
      <c r="A533" s="467"/>
      <c r="B533" s="486" t="s">
        <v>763</v>
      </c>
      <c r="C533" s="487" t="s">
        <v>764</v>
      </c>
      <c r="D533" s="487">
        <v>0.4</v>
      </c>
      <c r="E533" s="487">
        <v>1</v>
      </c>
      <c r="F533" s="487">
        <f t="shared" si="32"/>
        <v>0.4</v>
      </c>
      <c r="G533" s="549"/>
      <c r="I533" s="452">
        <v>2</v>
      </c>
    </row>
    <row r="534" spans="1:11" x14ac:dyDescent="0.2">
      <c r="A534" s="467"/>
      <c r="B534" s="486" t="s">
        <v>765</v>
      </c>
      <c r="C534" s="487" t="s">
        <v>764</v>
      </c>
      <c r="D534" s="487">
        <v>0.8</v>
      </c>
      <c r="E534" s="487">
        <v>1</v>
      </c>
      <c r="F534" s="487">
        <f t="shared" si="32"/>
        <v>0.8</v>
      </c>
      <c r="G534" s="549"/>
      <c r="I534" s="452">
        <v>4</v>
      </c>
    </row>
    <row r="535" spans="1:11" x14ac:dyDescent="0.2">
      <c r="A535" s="467"/>
      <c r="B535" s="486" t="s">
        <v>766</v>
      </c>
      <c r="C535" s="487" t="s">
        <v>764</v>
      </c>
      <c r="D535" s="487">
        <v>1.4</v>
      </c>
      <c r="E535" s="487">
        <v>1</v>
      </c>
      <c r="F535" s="487">
        <f t="shared" si="32"/>
        <v>1.4</v>
      </c>
      <c r="G535" s="549"/>
      <c r="I535" s="452">
        <v>7</v>
      </c>
    </row>
    <row r="536" spans="1:11" x14ac:dyDescent="0.2">
      <c r="A536" s="467"/>
      <c r="B536" s="486" t="s">
        <v>767</v>
      </c>
      <c r="C536" s="487" t="s">
        <v>764</v>
      </c>
      <c r="D536" s="487">
        <v>2.4</v>
      </c>
      <c r="E536" s="487">
        <v>1</v>
      </c>
      <c r="F536" s="487">
        <f t="shared" si="32"/>
        <v>2.4</v>
      </c>
      <c r="G536" s="549"/>
      <c r="I536" s="452">
        <v>12</v>
      </c>
    </row>
    <row r="537" spans="1:11" x14ac:dyDescent="0.2">
      <c r="A537" s="467" t="s">
        <v>172</v>
      </c>
      <c r="B537" s="486" t="s">
        <v>494</v>
      </c>
      <c r="C537" s="487" t="s">
        <v>495</v>
      </c>
      <c r="D537" s="509">
        <v>0.3</v>
      </c>
      <c r="E537" s="487"/>
      <c r="F537" s="487"/>
      <c r="G537" s="487"/>
      <c r="I537" s="599">
        <v>0.75</v>
      </c>
      <c r="J537" s="600"/>
      <c r="K537" s="600"/>
    </row>
    <row r="538" spans="1:11" ht="16.5" customHeight="1" x14ac:dyDescent="0.2">
      <c r="A538" s="568" t="s">
        <v>768</v>
      </c>
      <c r="B538" s="569"/>
      <c r="C538" s="570"/>
      <c r="D538" s="570"/>
      <c r="E538" s="570"/>
      <c r="F538" s="570"/>
      <c r="G538" s="571"/>
      <c r="H538" s="572"/>
      <c r="I538" s="572"/>
      <c r="J538" s="573"/>
      <c r="K538" s="573"/>
    </row>
    <row r="539" spans="1:11" x14ac:dyDescent="0.2">
      <c r="A539" s="467" t="s">
        <v>288</v>
      </c>
      <c r="B539" s="486"/>
      <c r="C539" s="487"/>
      <c r="D539" s="487"/>
      <c r="E539" s="532"/>
      <c r="F539" s="532"/>
      <c r="G539" s="549"/>
    </row>
    <row r="540" spans="1:11" x14ac:dyDescent="0.2">
      <c r="A540" s="467" t="s">
        <v>289</v>
      </c>
      <c r="B540" s="486" t="s">
        <v>139</v>
      </c>
      <c r="C540" s="487"/>
      <c r="D540" s="492">
        <v>0</v>
      </c>
      <c r="E540" s="601"/>
      <c r="F540" s="601"/>
      <c r="G540" s="549"/>
    </row>
    <row r="541" spans="1:11" x14ac:dyDescent="0.2">
      <c r="A541" s="467"/>
      <c r="B541" s="486" t="s">
        <v>769</v>
      </c>
      <c r="C541" s="487" t="s">
        <v>478</v>
      </c>
      <c r="D541" s="487">
        <v>1</v>
      </c>
      <c r="E541" s="601"/>
      <c r="F541" s="601"/>
      <c r="G541" s="549"/>
      <c r="I541" s="452">
        <v>1</v>
      </c>
    </row>
    <row r="542" spans="1:11" x14ac:dyDescent="0.2">
      <c r="A542" s="467"/>
      <c r="B542" s="486" t="s">
        <v>770</v>
      </c>
      <c r="C542" s="487" t="s">
        <v>478</v>
      </c>
      <c r="D542" s="487">
        <v>0.8</v>
      </c>
      <c r="E542" s="601"/>
      <c r="F542" s="601"/>
      <c r="G542" s="549"/>
      <c r="I542" s="452">
        <v>0.8</v>
      </c>
    </row>
    <row r="543" spans="1:11" x14ac:dyDescent="0.2">
      <c r="A543" s="467"/>
      <c r="B543" s="486" t="s">
        <v>771</v>
      </c>
      <c r="C543" s="487" t="s">
        <v>478</v>
      </c>
      <c r="D543" s="487">
        <v>0.4</v>
      </c>
      <c r="E543" s="601"/>
      <c r="F543" s="601"/>
      <c r="G543" s="549"/>
      <c r="I543" s="452">
        <v>0.4</v>
      </c>
    </row>
    <row r="544" spans="1:11" x14ac:dyDescent="0.2">
      <c r="A544" s="467"/>
      <c r="B544" s="486" t="s">
        <v>772</v>
      </c>
      <c r="C544" s="487" t="s">
        <v>478</v>
      </c>
      <c r="D544" s="487">
        <v>0.2</v>
      </c>
      <c r="E544" s="601"/>
      <c r="F544" s="601"/>
      <c r="G544" s="549"/>
      <c r="I544" s="452">
        <v>0.2</v>
      </c>
    </row>
    <row r="545" spans="1:11" x14ac:dyDescent="0.2">
      <c r="A545" s="467" t="s">
        <v>290</v>
      </c>
      <c r="B545" s="486" t="s">
        <v>139</v>
      </c>
      <c r="C545" s="487"/>
      <c r="D545" s="492">
        <v>0</v>
      </c>
      <c r="E545" s="601"/>
      <c r="F545" s="601"/>
      <c r="G545" s="549"/>
    </row>
    <row r="546" spans="1:11" x14ac:dyDescent="0.2">
      <c r="A546" s="467"/>
      <c r="B546" s="486" t="s">
        <v>773</v>
      </c>
      <c r="C546" s="487" t="s">
        <v>774</v>
      </c>
      <c r="D546" s="487">
        <v>9</v>
      </c>
      <c r="E546" s="601"/>
      <c r="F546" s="601"/>
      <c r="G546" s="549"/>
      <c r="I546" s="452">
        <v>9</v>
      </c>
    </row>
    <row r="547" spans="1:11" x14ac:dyDescent="0.2">
      <c r="A547" s="467"/>
      <c r="B547" s="486" t="s">
        <v>775</v>
      </c>
      <c r="C547" s="487" t="s">
        <v>774</v>
      </c>
      <c r="D547" s="487">
        <v>6</v>
      </c>
      <c r="E547" s="601"/>
      <c r="F547" s="601"/>
      <c r="G547" s="549"/>
      <c r="I547" s="452">
        <v>6</v>
      </c>
    </row>
    <row r="548" spans="1:11" x14ac:dyDescent="0.2">
      <c r="A548" s="467"/>
      <c r="B548" s="486" t="s">
        <v>776</v>
      </c>
      <c r="C548" s="487" t="s">
        <v>774</v>
      </c>
      <c r="D548" s="487">
        <v>3</v>
      </c>
      <c r="E548" s="601"/>
      <c r="F548" s="601"/>
      <c r="G548" s="549"/>
      <c r="I548" s="452">
        <v>3</v>
      </c>
    </row>
    <row r="549" spans="1:11" x14ac:dyDescent="0.2">
      <c r="A549" s="467" t="s">
        <v>291</v>
      </c>
      <c r="B549" s="486"/>
      <c r="C549" s="487"/>
      <c r="D549" s="493"/>
      <c r="E549" s="532"/>
      <c r="F549" s="532"/>
      <c r="G549" s="549"/>
    </row>
    <row r="550" spans="1:11" x14ac:dyDescent="0.2">
      <c r="A550" s="467" t="s">
        <v>289</v>
      </c>
      <c r="B550" s="486" t="s">
        <v>139</v>
      </c>
      <c r="C550" s="487"/>
      <c r="D550" s="492">
        <v>0</v>
      </c>
      <c r="E550" s="601"/>
      <c r="F550" s="601"/>
      <c r="G550" s="549"/>
    </row>
    <row r="551" spans="1:11" x14ac:dyDescent="0.2">
      <c r="A551" s="467"/>
      <c r="B551" s="486" t="s">
        <v>769</v>
      </c>
      <c r="C551" s="487" t="s">
        <v>478</v>
      </c>
      <c r="D551" s="487">
        <v>1</v>
      </c>
      <c r="E551" s="601"/>
      <c r="F551" s="601"/>
      <c r="G551" s="549"/>
      <c r="I551" s="452">
        <v>1</v>
      </c>
    </row>
    <row r="552" spans="1:11" x14ac:dyDescent="0.2">
      <c r="A552" s="467"/>
      <c r="B552" s="486" t="s">
        <v>770</v>
      </c>
      <c r="C552" s="487" t="s">
        <v>478</v>
      </c>
      <c r="D552" s="487">
        <v>0.8</v>
      </c>
      <c r="E552" s="601"/>
      <c r="F552" s="601"/>
      <c r="G552" s="549"/>
      <c r="I552" s="452">
        <v>0.8</v>
      </c>
    </row>
    <row r="553" spans="1:11" x14ac:dyDescent="0.2">
      <c r="A553" s="467"/>
      <c r="B553" s="486" t="s">
        <v>771</v>
      </c>
      <c r="C553" s="487" t="s">
        <v>478</v>
      </c>
      <c r="D553" s="487">
        <v>0.4</v>
      </c>
      <c r="E553" s="601"/>
      <c r="F553" s="601"/>
      <c r="G553" s="549"/>
      <c r="I553" s="452">
        <v>0.4</v>
      </c>
    </row>
    <row r="554" spans="1:11" x14ac:dyDescent="0.2">
      <c r="A554" s="467"/>
      <c r="B554" s="486" t="s">
        <v>772</v>
      </c>
      <c r="C554" s="487" t="s">
        <v>478</v>
      </c>
      <c r="D554" s="487">
        <v>0.2</v>
      </c>
      <c r="E554" s="601"/>
      <c r="F554" s="601"/>
      <c r="G554" s="549"/>
      <c r="I554" s="452">
        <v>0.2</v>
      </c>
    </row>
    <row r="555" spans="1:11" x14ac:dyDescent="0.2">
      <c r="A555" s="467" t="s">
        <v>290</v>
      </c>
      <c r="B555" s="486" t="s">
        <v>139</v>
      </c>
      <c r="C555" s="487"/>
      <c r="D555" s="492">
        <v>0</v>
      </c>
      <c r="E555" s="601"/>
      <c r="F555" s="601"/>
      <c r="G555" s="549"/>
    </row>
    <row r="556" spans="1:11" x14ac:dyDescent="0.2">
      <c r="A556" s="467"/>
      <c r="B556" s="486" t="s">
        <v>773</v>
      </c>
      <c r="C556" s="487" t="s">
        <v>774</v>
      </c>
      <c r="D556" s="487">
        <v>9</v>
      </c>
      <c r="E556" s="601"/>
      <c r="F556" s="601"/>
      <c r="G556" s="549"/>
      <c r="I556" s="452">
        <v>9</v>
      </c>
    </row>
    <row r="557" spans="1:11" x14ac:dyDescent="0.2">
      <c r="A557" s="467"/>
      <c r="B557" s="486" t="s">
        <v>775</v>
      </c>
      <c r="C557" s="487" t="s">
        <v>774</v>
      </c>
      <c r="D557" s="487">
        <v>6</v>
      </c>
      <c r="E557" s="601"/>
      <c r="F557" s="601"/>
      <c r="G557" s="549"/>
      <c r="I557" s="452">
        <v>6</v>
      </c>
    </row>
    <row r="558" spans="1:11" x14ac:dyDescent="0.2">
      <c r="A558" s="467"/>
      <c r="B558" s="486" t="s">
        <v>776</v>
      </c>
      <c r="C558" s="487" t="s">
        <v>774</v>
      </c>
      <c r="D558" s="487">
        <v>3</v>
      </c>
      <c r="E558" s="601"/>
      <c r="F558" s="601"/>
      <c r="G558" s="549"/>
      <c r="I558" s="452">
        <v>3</v>
      </c>
    </row>
    <row r="559" spans="1:11" x14ac:dyDescent="0.2">
      <c r="A559" s="467" t="s">
        <v>172</v>
      </c>
      <c r="B559" s="486" t="s">
        <v>494</v>
      </c>
      <c r="C559" s="487" t="s">
        <v>495</v>
      </c>
      <c r="D559" s="509">
        <v>0.7</v>
      </c>
      <c r="E559" s="532"/>
      <c r="F559" s="532"/>
      <c r="G559" s="487"/>
      <c r="I559" s="599">
        <v>0.75</v>
      </c>
      <c r="J559" s="600"/>
      <c r="K559" s="600"/>
    </row>
    <row r="560" spans="1:11" ht="16.5" customHeight="1" x14ac:dyDescent="0.2">
      <c r="A560" s="568" t="s">
        <v>292</v>
      </c>
      <c r="B560" s="569"/>
      <c r="C560" s="570"/>
      <c r="D560" s="570"/>
      <c r="E560" s="570"/>
      <c r="F560" s="570"/>
      <c r="G560" s="571"/>
      <c r="H560" s="572"/>
      <c r="I560" s="572"/>
      <c r="J560" s="573"/>
      <c r="K560" s="573"/>
    </row>
    <row r="561" spans="1:13" x14ac:dyDescent="0.2">
      <c r="A561" s="485" t="s">
        <v>12</v>
      </c>
      <c r="B561" s="486"/>
      <c r="C561" s="487"/>
      <c r="D561" s="487"/>
      <c r="E561" s="487"/>
      <c r="F561" s="487"/>
      <c r="G561" s="549"/>
      <c r="I561" s="592" t="str">
        <f>I$353</f>
        <v>T1</v>
      </c>
      <c r="J561" s="593" t="str">
        <f>J$353</f>
        <v>T2</v>
      </c>
      <c r="K561" s="593" t="str">
        <f>K$353</f>
        <v>T3</v>
      </c>
      <c r="L561" s="593" t="str">
        <f>L$353</f>
        <v>T4</v>
      </c>
      <c r="M561" s="594" t="str">
        <f>M$353</f>
        <v>T5 et +</v>
      </c>
    </row>
    <row r="562" spans="1:13" x14ac:dyDescent="0.2">
      <c r="A562" s="467"/>
      <c r="B562" s="486" t="s">
        <v>777</v>
      </c>
      <c r="C562" s="487" t="s">
        <v>778</v>
      </c>
      <c r="D562" s="492">
        <f>IF(N$354=0,0,SUMPRODUCT(I$354:M$354,I562:M562)/N$354)</f>
        <v>51.516956521739097</v>
      </c>
      <c r="E562" s="487">
        <v>1</v>
      </c>
      <c r="F562" s="492">
        <f>D562*E562</f>
        <v>51.516956521739097</v>
      </c>
      <c r="G562" s="549"/>
      <c r="I562" s="579">
        <v>34.26</v>
      </c>
      <c r="J562" s="580">
        <v>38.018823529411797</v>
      </c>
      <c r="K562" s="580">
        <v>51.516956521739097</v>
      </c>
      <c r="L562" s="506">
        <v>52.806818181818201</v>
      </c>
      <c r="M562" s="507">
        <v>60.094545454545496</v>
      </c>
    </row>
    <row r="563" spans="1:13" x14ac:dyDescent="0.2">
      <c r="A563" s="467"/>
      <c r="B563" s="486" t="s">
        <v>779</v>
      </c>
      <c r="C563" s="487" t="s">
        <v>780</v>
      </c>
      <c r="D563" s="487">
        <v>60</v>
      </c>
      <c r="E563" s="487">
        <v>1</v>
      </c>
      <c r="F563" s="492">
        <f>D563*E563</f>
        <v>60</v>
      </c>
      <c r="G563" s="549"/>
    </row>
    <row r="564" spans="1:13" x14ac:dyDescent="0.2">
      <c r="A564" s="485" t="s">
        <v>15</v>
      </c>
      <c r="B564" s="486"/>
      <c r="C564" s="487"/>
      <c r="D564" s="487"/>
      <c r="E564" s="487"/>
      <c r="F564" s="487"/>
      <c r="G564" s="549"/>
    </row>
    <row r="565" spans="1:13" x14ac:dyDescent="0.2">
      <c r="A565" s="467"/>
      <c r="B565" s="486"/>
      <c r="C565" s="487" t="s">
        <v>781</v>
      </c>
      <c r="D565" s="487">
        <v>100</v>
      </c>
      <c r="E565" s="487">
        <v>1</v>
      </c>
      <c r="F565" s="487">
        <f>D565*E565</f>
        <v>100</v>
      </c>
      <c r="G565" s="549"/>
    </row>
    <row r="566" spans="1:13" x14ac:dyDescent="0.2">
      <c r="A566" s="467" t="s">
        <v>782</v>
      </c>
      <c r="B566" s="486"/>
      <c r="C566" s="487" t="s">
        <v>774</v>
      </c>
      <c r="D566" s="487">
        <v>2</v>
      </c>
      <c r="E566" s="487">
        <v>1</v>
      </c>
      <c r="F566" s="487">
        <f>D566*E566</f>
        <v>2</v>
      </c>
      <c r="G566" s="549"/>
    </row>
    <row r="567" spans="1:13" x14ac:dyDescent="0.2">
      <c r="A567" s="467"/>
      <c r="B567" s="486" t="s">
        <v>139</v>
      </c>
      <c r="C567" s="487"/>
      <c r="D567" s="492">
        <v>0</v>
      </c>
      <c r="E567" s="487">
        <v>1</v>
      </c>
      <c r="F567" s="487">
        <f>D567*E567</f>
        <v>0</v>
      </c>
      <c r="G567" s="549"/>
    </row>
    <row r="568" spans="1:13" x14ac:dyDescent="0.2">
      <c r="A568" s="467"/>
      <c r="B568" s="486" t="s">
        <v>783</v>
      </c>
      <c r="C568" s="487"/>
      <c r="D568" s="487">
        <v>1</v>
      </c>
      <c r="E568" s="487">
        <v>1</v>
      </c>
      <c r="F568" s="487">
        <f>D568*E568</f>
        <v>1</v>
      </c>
      <c r="G568" s="549"/>
    </row>
    <row r="569" spans="1:13" x14ac:dyDescent="0.2">
      <c r="A569" s="467"/>
      <c r="B569" s="486" t="s">
        <v>784</v>
      </c>
      <c r="C569" s="487"/>
      <c r="D569" s="487">
        <v>0</v>
      </c>
      <c r="E569" s="487">
        <v>1</v>
      </c>
      <c r="F569" s="487">
        <f>D569*E569</f>
        <v>0</v>
      </c>
      <c r="G569" s="549"/>
    </row>
    <row r="570" spans="1:13" x14ac:dyDescent="0.2">
      <c r="A570" s="467" t="s">
        <v>172</v>
      </c>
      <c r="B570" s="486" t="s">
        <v>494</v>
      </c>
      <c r="C570" s="487" t="s">
        <v>495</v>
      </c>
      <c r="D570" s="509">
        <v>0.4</v>
      </c>
      <c r="E570" s="487"/>
      <c r="F570" s="487"/>
      <c r="G570" s="487"/>
    </row>
    <row r="571" spans="1:13" ht="16.5" customHeight="1" x14ac:dyDescent="0.2">
      <c r="A571" s="568" t="s">
        <v>300</v>
      </c>
      <c r="B571" s="569"/>
      <c r="C571" s="570"/>
      <c r="D571" s="570"/>
      <c r="E571" s="570"/>
      <c r="F571" s="570"/>
      <c r="G571" s="571"/>
      <c r="H571" s="572"/>
      <c r="I571" s="572"/>
      <c r="J571" s="573"/>
      <c r="K571" s="573"/>
    </row>
    <row r="572" spans="1:13" x14ac:dyDescent="0.2">
      <c r="A572" s="467" t="s">
        <v>785</v>
      </c>
      <c r="B572" s="486"/>
      <c r="C572" s="487" t="s">
        <v>786</v>
      </c>
      <c r="D572" s="492">
        <v>1000</v>
      </c>
      <c r="E572" s="487">
        <v>1</v>
      </c>
      <c r="F572" s="487">
        <f>D572*E572</f>
        <v>1000</v>
      </c>
      <c r="G572" s="545"/>
      <c r="I572" s="475">
        <v>1000</v>
      </c>
      <c r="J572" s="602"/>
      <c r="K572" s="602"/>
    </row>
    <row r="573" spans="1:13" x14ac:dyDescent="0.2">
      <c r="A573" s="467" t="s">
        <v>172</v>
      </c>
      <c r="B573" s="486" t="s">
        <v>494</v>
      </c>
      <c r="C573" s="487" t="s">
        <v>495</v>
      </c>
      <c r="D573" s="509">
        <v>0.45</v>
      </c>
      <c r="E573" s="487"/>
      <c r="F573" s="487"/>
      <c r="G573" s="487"/>
      <c r="I573" s="599">
        <v>0.75</v>
      </c>
      <c r="J573" s="600"/>
      <c r="K573" s="600"/>
    </row>
    <row r="574" spans="1:13" ht="16.5" customHeight="1" x14ac:dyDescent="0.2">
      <c r="A574" s="568" t="s">
        <v>305</v>
      </c>
      <c r="B574" s="569"/>
      <c r="C574" s="570"/>
      <c r="D574" s="570"/>
      <c r="E574" s="570"/>
      <c r="F574" s="570"/>
      <c r="G574" s="571"/>
      <c r="H574" s="572"/>
      <c r="I574" s="572"/>
      <c r="J574" s="573"/>
      <c r="K574" s="573"/>
    </row>
    <row r="575" spans="1:13" x14ac:dyDescent="0.2">
      <c r="A575" s="485" t="s">
        <v>12</v>
      </c>
      <c r="B575" s="486"/>
      <c r="C575" s="487"/>
      <c r="D575" s="509"/>
      <c r="E575" s="487"/>
      <c r="F575" s="509"/>
      <c r="G575" s="603"/>
      <c r="I575" s="592" t="str">
        <f>I$353</f>
        <v>T1</v>
      </c>
      <c r="J575" s="593" t="str">
        <f>J$353</f>
        <v>T2</v>
      </c>
      <c r="K575" s="593" t="str">
        <f>K$353</f>
        <v>T3</v>
      </c>
      <c r="L575" s="593" t="str">
        <f>L$353</f>
        <v>T4</v>
      </c>
      <c r="M575" s="594" t="str">
        <f>M$353</f>
        <v>T5 et +</v>
      </c>
    </row>
    <row r="576" spans="1:13" x14ac:dyDescent="0.2">
      <c r="A576" s="467" t="s">
        <v>308</v>
      </c>
      <c r="B576" s="486" t="s">
        <v>139</v>
      </c>
      <c r="C576" s="487"/>
      <c r="D576" s="492">
        <v>0</v>
      </c>
      <c r="E576" s="487">
        <v>1</v>
      </c>
      <c r="F576" s="487">
        <f>D576*E576</f>
        <v>0</v>
      </c>
      <c r="G576" s="549"/>
      <c r="I576" s="597"/>
      <c r="M576" s="604"/>
    </row>
    <row r="577" spans="1:13" x14ac:dyDescent="0.2">
      <c r="A577" s="467"/>
      <c r="B577" s="486" t="s">
        <v>256</v>
      </c>
      <c r="C577" s="487"/>
      <c r="D577" s="492">
        <v>0</v>
      </c>
      <c r="E577" s="487">
        <v>1</v>
      </c>
      <c r="F577" s="487">
        <f>D577*E577</f>
        <v>0</v>
      </c>
      <c r="G577" s="549"/>
      <c r="I577" s="597"/>
      <c r="M577" s="604"/>
    </row>
    <row r="578" spans="1:13" x14ac:dyDescent="0.2">
      <c r="A578" s="467"/>
      <c r="B578" s="486" t="s">
        <v>309</v>
      </c>
      <c r="C578" s="487" t="s">
        <v>778</v>
      </c>
      <c r="D578" s="492">
        <f>IF(N$354=0,0,SUMPRODUCT(I$354:M$354,I578:M578)/N$354)</f>
        <v>550</v>
      </c>
      <c r="E578" s="487">
        <v>1</v>
      </c>
      <c r="F578" s="492">
        <f>D578*E578</f>
        <v>550</v>
      </c>
      <c r="G578" s="603"/>
      <c r="I578" s="605">
        <v>350</v>
      </c>
      <c r="J578" s="81">
        <v>450</v>
      </c>
      <c r="K578" s="81">
        <v>550</v>
      </c>
      <c r="L578" s="81">
        <v>650</v>
      </c>
      <c r="M578" s="606">
        <v>750</v>
      </c>
    </row>
    <row r="579" spans="1:13" x14ac:dyDescent="0.2">
      <c r="A579" s="467"/>
      <c r="B579" s="486" t="s">
        <v>787</v>
      </c>
      <c r="C579" s="487" t="s">
        <v>778</v>
      </c>
      <c r="D579" s="492">
        <f>IF(N$354=0,0,SUMPRODUCT(I$354:M$354,I579:M579)/N$354)</f>
        <v>537</v>
      </c>
      <c r="E579" s="487">
        <v>1</v>
      </c>
      <c r="F579" s="492">
        <f>D579*E579</f>
        <v>537</v>
      </c>
      <c r="G579" s="603"/>
      <c r="I579" s="496">
        <v>358</v>
      </c>
      <c r="J579" s="497">
        <v>358</v>
      </c>
      <c r="K579" s="497">
        <v>537</v>
      </c>
      <c r="L579" s="497">
        <v>537</v>
      </c>
      <c r="M579" s="498">
        <v>716</v>
      </c>
    </row>
    <row r="580" spans="1:13" x14ac:dyDescent="0.2">
      <c r="A580" s="485" t="s">
        <v>15</v>
      </c>
      <c r="B580" s="486"/>
      <c r="C580" s="487"/>
      <c r="D580" s="509"/>
      <c r="E580" s="487"/>
      <c r="F580" s="509"/>
      <c r="G580" s="603"/>
    </row>
    <row r="581" spans="1:13" x14ac:dyDescent="0.2">
      <c r="A581" s="467" t="s">
        <v>311</v>
      </c>
      <c r="B581" s="486" t="s">
        <v>139</v>
      </c>
      <c r="C581" s="487"/>
      <c r="D581" s="492">
        <v>300</v>
      </c>
      <c r="E581" s="487">
        <v>1</v>
      </c>
      <c r="F581" s="487">
        <f t="shared" ref="F581:F592" si="33">D581*E581</f>
        <v>300</v>
      </c>
      <c r="G581" s="549"/>
    </row>
    <row r="582" spans="1:13" x14ac:dyDescent="0.2">
      <c r="A582" s="467"/>
      <c r="B582" s="486" t="s">
        <v>788</v>
      </c>
      <c r="C582" s="487" t="s">
        <v>774</v>
      </c>
      <c r="D582" s="487">
        <v>0</v>
      </c>
      <c r="E582" s="487">
        <v>1</v>
      </c>
      <c r="F582" s="487">
        <f t="shared" si="33"/>
        <v>0</v>
      </c>
      <c r="G582" s="549"/>
      <c r="I582" s="452">
        <v>0</v>
      </c>
    </row>
    <row r="583" spans="1:13" x14ac:dyDescent="0.2">
      <c r="A583" s="467"/>
      <c r="B583" s="486" t="s">
        <v>789</v>
      </c>
      <c r="C583" s="487" t="s">
        <v>774</v>
      </c>
      <c r="D583" s="487">
        <v>350</v>
      </c>
      <c r="E583" s="487">
        <v>1</v>
      </c>
      <c r="F583" s="487">
        <f t="shared" si="33"/>
        <v>350</v>
      </c>
      <c r="G583" s="549"/>
      <c r="I583" s="452">
        <v>350</v>
      </c>
    </row>
    <row r="584" spans="1:13" x14ac:dyDescent="0.2">
      <c r="A584" s="467"/>
      <c r="B584" s="486" t="s">
        <v>790</v>
      </c>
      <c r="C584" s="487" t="s">
        <v>774</v>
      </c>
      <c r="D584" s="487">
        <v>250</v>
      </c>
      <c r="E584" s="487">
        <v>1</v>
      </c>
      <c r="F584" s="487">
        <f t="shared" si="33"/>
        <v>250</v>
      </c>
      <c r="G584" s="549"/>
      <c r="I584" s="452">
        <v>250</v>
      </c>
    </row>
    <row r="585" spans="1:13" x14ac:dyDescent="0.2">
      <c r="A585" s="467"/>
      <c r="B585" s="486" t="s">
        <v>791</v>
      </c>
      <c r="C585" s="487" t="s">
        <v>774</v>
      </c>
      <c r="D585" s="487">
        <v>400</v>
      </c>
      <c r="E585" s="487">
        <v>1</v>
      </c>
      <c r="F585" s="487">
        <f t="shared" si="33"/>
        <v>400</v>
      </c>
      <c r="G585" s="549"/>
      <c r="I585" s="452">
        <v>400</v>
      </c>
    </row>
    <row r="586" spans="1:13" x14ac:dyDescent="0.2">
      <c r="A586" s="467"/>
      <c r="B586" s="486" t="s">
        <v>792</v>
      </c>
      <c r="C586" s="487" t="s">
        <v>774</v>
      </c>
      <c r="D586" s="487">
        <v>150</v>
      </c>
      <c r="E586" s="487">
        <v>1</v>
      </c>
      <c r="F586" s="487">
        <f t="shared" si="33"/>
        <v>150</v>
      </c>
      <c r="G586" s="549"/>
      <c r="I586" s="452">
        <v>150</v>
      </c>
    </row>
    <row r="587" spans="1:13" x14ac:dyDescent="0.2">
      <c r="A587" s="467" t="s">
        <v>312</v>
      </c>
      <c r="B587" s="486" t="s">
        <v>139</v>
      </c>
      <c r="C587" s="487"/>
      <c r="D587" s="492">
        <v>50</v>
      </c>
      <c r="E587" s="487">
        <v>1</v>
      </c>
      <c r="F587" s="487">
        <f t="shared" si="33"/>
        <v>50</v>
      </c>
      <c r="G587" s="549"/>
    </row>
    <row r="588" spans="1:13" x14ac:dyDescent="0.2">
      <c r="A588" s="467"/>
      <c r="B588" s="486" t="s">
        <v>793</v>
      </c>
      <c r="C588" s="487" t="s">
        <v>774</v>
      </c>
      <c r="D588" s="487">
        <v>0</v>
      </c>
      <c r="E588" s="487">
        <v>1</v>
      </c>
      <c r="F588" s="487">
        <f t="shared" si="33"/>
        <v>0</v>
      </c>
      <c r="G588" s="549"/>
      <c r="I588" s="452">
        <v>0</v>
      </c>
    </row>
    <row r="589" spans="1:13" x14ac:dyDescent="0.2">
      <c r="A589" s="467"/>
      <c r="B589" s="486" t="s">
        <v>309</v>
      </c>
      <c r="C589" s="487" t="s">
        <v>774</v>
      </c>
      <c r="D589" s="487">
        <v>150</v>
      </c>
      <c r="E589" s="487">
        <v>1</v>
      </c>
      <c r="F589" s="487">
        <f t="shared" si="33"/>
        <v>150</v>
      </c>
      <c r="G589" s="549"/>
      <c r="I589" s="452">
        <v>150</v>
      </c>
    </row>
    <row r="590" spans="1:13" x14ac:dyDescent="0.2">
      <c r="A590" s="467"/>
      <c r="B590" s="486" t="s">
        <v>794</v>
      </c>
      <c r="C590" s="487" t="s">
        <v>774</v>
      </c>
      <c r="D590" s="487">
        <v>50</v>
      </c>
      <c r="E590" s="487">
        <v>1</v>
      </c>
      <c r="F590" s="487">
        <f t="shared" si="33"/>
        <v>50</v>
      </c>
      <c r="G590" s="549"/>
      <c r="I590" s="452">
        <v>50</v>
      </c>
    </row>
    <row r="591" spans="1:13" x14ac:dyDescent="0.2">
      <c r="A591" s="467"/>
      <c r="B591" s="486" t="s">
        <v>795</v>
      </c>
      <c r="C591" s="487" t="s">
        <v>774</v>
      </c>
      <c r="D591" s="487">
        <v>60</v>
      </c>
      <c r="E591" s="487">
        <v>1</v>
      </c>
      <c r="F591" s="487">
        <f t="shared" si="33"/>
        <v>60</v>
      </c>
      <c r="G591" s="549"/>
      <c r="I591" s="452">
        <v>60</v>
      </c>
    </row>
    <row r="592" spans="1:13" x14ac:dyDescent="0.2">
      <c r="A592" s="467"/>
      <c r="B592" s="486" t="s">
        <v>796</v>
      </c>
      <c r="C592" s="487" t="s">
        <v>774</v>
      </c>
      <c r="D592" s="487">
        <v>100</v>
      </c>
      <c r="E592" s="487">
        <v>1</v>
      </c>
      <c r="F592" s="487">
        <f t="shared" si="33"/>
        <v>100</v>
      </c>
      <c r="G592" s="549"/>
    </row>
    <row r="593" spans="1:13" x14ac:dyDescent="0.2">
      <c r="A593" s="467" t="s">
        <v>172</v>
      </c>
      <c r="B593" s="486" t="s">
        <v>494</v>
      </c>
      <c r="C593" s="487" t="s">
        <v>495</v>
      </c>
      <c r="D593" s="509">
        <v>0.5</v>
      </c>
      <c r="E593" s="487"/>
      <c r="F593" s="487"/>
      <c r="G593" s="487"/>
      <c r="I593" s="599">
        <v>0.65</v>
      </c>
      <c r="J593" s="600"/>
      <c r="K593" s="600"/>
    </row>
    <row r="594" spans="1:13" x14ac:dyDescent="0.2">
      <c r="A594" s="467"/>
      <c r="B594" s="486" t="s">
        <v>797</v>
      </c>
      <c r="C594" s="487" t="s">
        <v>495</v>
      </c>
      <c r="D594" s="509">
        <v>0.25</v>
      </c>
      <c r="E594" s="487"/>
      <c r="F594" s="487"/>
      <c r="G594" s="487"/>
      <c r="I594" s="599">
        <v>0.3</v>
      </c>
      <c r="J594" s="600"/>
      <c r="K594" s="600"/>
    </row>
    <row r="595" spans="1:13" ht="16.5" customHeight="1" x14ac:dyDescent="0.2">
      <c r="A595" s="568" t="s">
        <v>314</v>
      </c>
      <c r="B595" s="569"/>
      <c r="C595" s="570"/>
      <c r="D595" s="570"/>
      <c r="E595" s="570"/>
      <c r="F595" s="570"/>
      <c r="G595" s="571"/>
      <c r="H595" s="572"/>
      <c r="I595" s="572"/>
      <c r="J595" s="573"/>
      <c r="K595" s="573"/>
    </row>
    <row r="596" spans="1:13" x14ac:dyDescent="0.2">
      <c r="A596" s="485" t="s">
        <v>12</v>
      </c>
      <c r="B596" s="486"/>
      <c r="C596" s="487"/>
      <c r="D596" s="487"/>
      <c r="E596" s="487"/>
      <c r="F596" s="487"/>
      <c r="G596" s="549"/>
      <c r="I596" s="592" t="str">
        <f>I$353</f>
        <v>T1</v>
      </c>
      <c r="J596" s="593" t="str">
        <f>J$353</f>
        <v>T2</v>
      </c>
      <c r="K596" s="593" t="str">
        <f>K$353</f>
        <v>T3</v>
      </c>
      <c r="L596" s="593" t="str">
        <f>L$353</f>
        <v>T4</v>
      </c>
      <c r="M596" s="594" t="str">
        <f>M$353</f>
        <v>T5 et +</v>
      </c>
    </row>
    <row r="597" spans="1:13" x14ac:dyDescent="0.2">
      <c r="A597" s="467"/>
      <c r="B597" s="486"/>
      <c r="C597" s="487" t="s">
        <v>492</v>
      </c>
      <c r="D597" s="492">
        <f>IF(N$355=0,0,SUMPRODUCT(I$354:M$354,I597:M597)/N$355)</f>
        <v>35.28946952933439</v>
      </c>
      <c r="E597" s="487">
        <v>1</v>
      </c>
      <c r="F597" s="492">
        <f>D597*E597</f>
        <v>35.28946952933439</v>
      </c>
      <c r="G597" s="549"/>
      <c r="I597" s="579">
        <v>1706.1479999999999</v>
      </c>
      <c r="J597" s="580">
        <v>1893.3374117647099</v>
      </c>
      <c r="K597" s="580">
        <v>2565.5444347826101</v>
      </c>
      <c r="L597" s="506">
        <v>2629.7795454545499</v>
      </c>
      <c r="M597" s="507">
        <v>2992.70836363636</v>
      </c>
    </row>
    <row r="598" spans="1:13" x14ac:dyDescent="0.2">
      <c r="A598" s="467" t="s">
        <v>15</v>
      </c>
      <c r="B598" s="486"/>
      <c r="C598" s="487"/>
      <c r="D598" s="487"/>
      <c r="E598" s="487"/>
      <c r="F598" s="487"/>
      <c r="G598" s="549"/>
    </row>
    <row r="599" spans="1:13" x14ac:dyDescent="0.2">
      <c r="A599" s="485" t="str">
        <f>'Data-Liste'!F3</f>
        <v>Bureaux</v>
      </c>
      <c r="B599" s="486"/>
      <c r="C599" s="487"/>
      <c r="D599" s="487"/>
      <c r="E599" s="487"/>
      <c r="F599" s="487"/>
      <c r="G599" s="549"/>
    </row>
    <row r="600" spans="1:13" x14ac:dyDescent="0.2">
      <c r="A600" s="467" t="s">
        <v>317</v>
      </c>
      <c r="B600" s="486" t="s">
        <v>139</v>
      </c>
      <c r="C600" s="487"/>
      <c r="D600" s="492">
        <v>0</v>
      </c>
      <c r="E600" s="487">
        <v>1</v>
      </c>
      <c r="F600" s="487">
        <f>D600*E600</f>
        <v>0</v>
      </c>
      <c r="G600" s="549"/>
    </row>
    <row r="601" spans="1:13" x14ac:dyDescent="0.2">
      <c r="A601" s="467"/>
      <c r="B601" s="486" t="s">
        <v>798</v>
      </c>
      <c r="C601" s="487" t="s">
        <v>774</v>
      </c>
      <c r="D601" s="487">
        <v>5</v>
      </c>
      <c r="E601" s="487">
        <v>1</v>
      </c>
      <c r="F601" s="487">
        <f>D601*E601</f>
        <v>5</v>
      </c>
      <c r="G601" s="549"/>
      <c r="I601" s="452">
        <v>1</v>
      </c>
    </row>
    <row r="602" spans="1:13" x14ac:dyDescent="0.2">
      <c r="A602" s="467"/>
      <c r="B602" s="486" t="s">
        <v>799</v>
      </c>
      <c r="C602" s="487" t="s">
        <v>774</v>
      </c>
      <c r="D602" s="487">
        <v>3</v>
      </c>
      <c r="E602" s="487">
        <v>1</v>
      </c>
      <c r="F602" s="487">
        <f>D602*E602</f>
        <v>3</v>
      </c>
      <c r="G602" s="549"/>
      <c r="I602" s="452">
        <v>0.5</v>
      </c>
    </row>
    <row r="603" spans="1:13" x14ac:dyDescent="0.2">
      <c r="A603" s="485" t="str">
        <f>'Data-Liste'!F4</f>
        <v>Enseignement scolaire</v>
      </c>
      <c r="B603" s="486"/>
      <c r="C603" s="487"/>
      <c r="D603" s="487"/>
      <c r="E603" s="487"/>
      <c r="F603" s="487"/>
      <c r="G603" s="549"/>
    </row>
    <row r="604" spans="1:13" x14ac:dyDescent="0.2">
      <c r="A604" s="558" t="str">
        <f>A600</f>
        <v>gestion des PC</v>
      </c>
      <c r="B604" s="508" t="str">
        <f>B600</f>
        <v>-</v>
      </c>
      <c r="C604" s="550"/>
      <c r="D604" s="492">
        <v>0</v>
      </c>
      <c r="E604" s="487">
        <v>1</v>
      </c>
      <c r="F604" s="487">
        <f>D604*E604</f>
        <v>0</v>
      </c>
      <c r="G604" s="549"/>
    </row>
    <row r="605" spans="1:13" x14ac:dyDescent="0.2">
      <c r="A605" s="558"/>
      <c r="B605" s="508" t="str">
        <f>B601</f>
        <v>standard</v>
      </c>
      <c r="C605" s="550" t="str">
        <f>C601</f>
        <v>kWh / m² / an</v>
      </c>
      <c r="D605" s="487">
        <v>5</v>
      </c>
      <c r="E605" s="487">
        <v>1</v>
      </c>
      <c r="F605" s="487">
        <f>D605*E605</f>
        <v>5</v>
      </c>
      <c r="G605" s="549"/>
    </row>
    <row r="606" spans="1:13" x14ac:dyDescent="0.2">
      <c r="A606" s="558"/>
      <c r="B606" s="508" t="str">
        <f>B602</f>
        <v>prises vertes</v>
      </c>
      <c r="C606" s="550" t="str">
        <f>C602</f>
        <v>kWh / m² / an</v>
      </c>
      <c r="D606" s="487">
        <v>3</v>
      </c>
      <c r="E606" s="487">
        <v>1</v>
      </c>
      <c r="F606" s="487">
        <f>D606*E606</f>
        <v>3</v>
      </c>
      <c r="G606" s="549"/>
    </row>
    <row r="607" spans="1:13" x14ac:dyDescent="0.2">
      <c r="A607" s="485" t="str">
        <f>'Data-Liste'!F5</f>
        <v>Enseignement supérieur</v>
      </c>
      <c r="B607" s="486"/>
      <c r="C607" s="487"/>
      <c r="D607" s="487"/>
      <c r="E607" s="487"/>
      <c r="F607" s="487"/>
      <c r="G607" s="549"/>
    </row>
    <row r="608" spans="1:13" x14ac:dyDescent="0.2">
      <c r="A608" s="558" t="str">
        <f>A600</f>
        <v>gestion des PC</v>
      </c>
      <c r="B608" s="508" t="str">
        <f>B600</f>
        <v>-</v>
      </c>
      <c r="C608" s="550"/>
      <c r="D608" s="492">
        <v>0</v>
      </c>
      <c r="E608" s="487">
        <v>1</v>
      </c>
      <c r="F608" s="487">
        <f>D608*E608</f>
        <v>0</v>
      </c>
      <c r="G608" s="549"/>
    </row>
    <row r="609" spans="1:11" x14ac:dyDescent="0.2">
      <c r="A609" s="558"/>
      <c r="B609" s="508" t="str">
        <f>B601</f>
        <v>standard</v>
      </c>
      <c r="C609" s="550" t="str">
        <f>C601</f>
        <v>kWh / m² / an</v>
      </c>
      <c r="D609" s="487">
        <v>10</v>
      </c>
      <c r="E609" s="487">
        <v>1</v>
      </c>
      <c r="F609" s="487">
        <f>D609*E609</f>
        <v>10</v>
      </c>
      <c r="G609" s="549"/>
    </row>
    <row r="610" spans="1:11" x14ac:dyDescent="0.2">
      <c r="A610" s="558"/>
      <c r="B610" s="508" t="str">
        <f>B602</f>
        <v>prises vertes</v>
      </c>
      <c r="C610" s="550" t="str">
        <f>C602</f>
        <v>kWh / m² / an</v>
      </c>
      <c r="D610" s="487">
        <v>8</v>
      </c>
      <c r="E610" s="487">
        <v>1</v>
      </c>
      <c r="F610" s="487">
        <f>D610*E610</f>
        <v>8</v>
      </c>
      <c r="G610" s="549"/>
    </row>
    <row r="611" spans="1:11" x14ac:dyDescent="0.2">
      <c r="A611" s="485" t="str">
        <f>'Data-Liste'!F7</f>
        <v>Inconnu (livré en blanc)</v>
      </c>
      <c r="B611" s="486"/>
      <c r="C611" s="487"/>
      <c r="D611" s="487"/>
      <c r="E611" s="487"/>
      <c r="F611" s="487"/>
      <c r="G611" s="549"/>
    </row>
    <row r="612" spans="1:11" x14ac:dyDescent="0.2">
      <c r="A612" s="558" t="str">
        <f>A604</f>
        <v>gestion des PC</v>
      </c>
      <c r="B612" s="508" t="str">
        <f>B604</f>
        <v>-</v>
      </c>
      <c r="C612" s="550"/>
      <c r="D612" s="492">
        <v>0</v>
      </c>
      <c r="E612" s="487">
        <v>1</v>
      </c>
      <c r="F612" s="487">
        <f>D612*E612</f>
        <v>0</v>
      </c>
      <c r="G612" s="549"/>
    </row>
    <row r="613" spans="1:11" x14ac:dyDescent="0.2">
      <c r="A613" s="558"/>
      <c r="B613" s="508" t="str">
        <f>B605</f>
        <v>standard</v>
      </c>
      <c r="C613" s="550" t="str">
        <f>C605</f>
        <v>kWh / m² / an</v>
      </c>
      <c r="D613" s="487">
        <v>10</v>
      </c>
      <c r="E613" s="487">
        <v>1</v>
      </c>
      <c r="F613" s="487">
        <f>D613*E613</f>
        <v>10</v>
      </c>
      <c r="G613" s="549"/>
    </row>
    <row r="614" spans="1:11" x14ac:dyDescent="0.2">
      <c r="A614" s="558"/>
      <c r="B614" s="508" t="str">
        <f>B606</f>
        <v>prises vertes</v>
      </c>
      <c r="C614" s="550" t="str">
        <f>C606</f>
        <v>kWh / m² / an</v>
      </c>
      <c r="D614" s="487">
        <v>8</v>
      </c>
      <c r="E614" s="487">
        <v>1</v>
      </c>
      <c r="F614" s="487">
        <f>D614*E614</f>
        <v>8</v>
      </c>
      <c r="G614" s="549"/>
    </row>
    <row r="615" spans="1:11" x14ac:dyDescent="0.2">
      <c r="A615" s="467" t="s">
        <v>172</v>
      </c>
      <c r="B615" s="486" t="s">
        <v>494</v>
      </c>
      <c r="C615" s="487" t="s">
        <v>495</v>
      </c>
      <c r="D615" s="509">
        <v>0.5</v>
      </c>
      <c r="E615" s="487"/>
      <c r="F615" s="487"/>
      <c r="G615" s="487"/>
      <c r="I615" s="599">
        <v>0.75</v>
      </c>
      <c r="J615" s="600"/>
      <c r="K615" s="600"/>
    </row>
    <row r="616" spans="1:11" ht="16.5" customHeight="1" x14ac:dyDescent="0.2">
      <c r="A616" s="568" t="s">
        <v>318</v>
      </c>
      <c r="B616" s="569"/>
      <c r="C616" s="570"/>
      <c r="D616" s="570"/>
      <c r="E616" s="570"/>
      <c r="F616" s="570"/>
      <c r="G616" s="571"/>
      <c r="H616" s="572"/>
      <c r="I616" s="572"/>
      <c r="J616" s="573"/>
      <c r="K616" s="573"/>
    </row>
    <row r="617" spans="1:11" x14ac:dyDescent="0.2">
      <c r="A617" s="467" t="s">
        <v>12</v>
      </c>
      <c r="B617" s="486"/>
      <c r="C617" s="487"/>
      <c r="D617" s="487"/>
      <c r="E617" s="487"/>
      <c r="F617" s="487"/>
      <c r="G617" s="549"/>
    </row>
    <row r="618" spans="1:11" x14ac:dyDescent="0.2">
      <c r="A618" s="467" t="s">
        <v>800</v>
      </c>
      <c r="B618" s="486" t="s">
        <v>139</v>
      </c>
      <c r="C618" s="487"/>
      <c r="D618" s="584">
        <v>0.4</v>
      </c>
      <c r="E618" s="487">
        <v>1</v>
      </c>
      <c r="F618" s="487">
        <f t="shared" ref="F618:F624" si="34">D618*E618</f>
        <v>0.4</v>
      </c>
      <c r="G618" s="549"/>
    </row>
    <row r="619" spans="1:11" x14ac:dyDescent="0.2">
      <c r="A619" s="467"/>
      <c r="B619" s="486" t="s">
        <v>801</v>
      </c>
      <c r="C619" s="487" t="s">
        <v>774</v>
      </c>
      <c r="D619" s="487">
        <v>0</v>
      </c>
      <c r="E619" s="487">
        <v>1</v>
      </c>
      <c r="F619" s="487">
        <f t="shared" si="34"/>
        <v>0</v>
      </c>
      <c r="G619" s="549"/>
    </row>
    <row r="620" spans="1:11" x14ac:dyDescent="0.2">
      <c r="A620" s="467"/>
      <c r="B620" s="486" t="s">
        <v>802</v>
      </c>
      <c r="C620" s="487" t="s">
        <v>774</v>
      </c>
      <c r="D620" s="487">
        <v>0.4</v>
      </c>
      <c r="E620" s="487">
        <v>1</v>
      </c>
      <c r="F620" s="487">
        <f t="shared" si="34"/>
        <v>0.4</v>
      </c>
      <c r="G620" s="549"/>
    </row>
    <row r="621" spans="1:11" x14ac:dyDescent="0.2">
      <c r="A621" s="467"/>
      <c r="B621" s="486" t="s">
        <v>794</v>
      </c>
      <c r="C621" s="487" t="s">
        <v>774</v>
      </c>
      <c r="D621" s="487">
        <v>4</v>
      </c>
      <c r="E621" s="487">
        <v>1</v>
      </c>
      <c r="F621" s="487">
        <f t="shared" si="34"/>
        <v>4</v>
      </c>
      <c r="G621" s="549"/>
    </row>
    <row r="622" spans="1:11" x14ac:dyDescent="0.2">
      <c r="A622" s="467"/>
      <c r="B622" s="486" t="s">
        <v>795</v>
      </c>
      <c r="C622" s="487" t="s">
        <v>774</v>
      </c>
      <c r="D622" s="487">
        <v>4</v>
      </c>
      <c r="E622" s="487">
        <v>1</v>
      </c>
      <c r="F622" s="487">
        <f t="shared" si="34"/>
        <v>4</v>
      </c>
      <c r="G622" s="549"/>
    </row>
    <row r="623" spans="1:11" x14ac:dyDescent="0.2">
      <c r="A623" s="467"/>
      <c r="B623" s="486" t="s">
        <v>803</v>
      </c>
      <c r="C623" s="487" t="s">
        <v>774</v>
      </c>
      <c r="D623" s="487">
        <v>10</v>
      </c>
      <c r="E623" s="487">
        <v>1</v>
      </c>
      <c r="F623" s="487">
        <f t="shared" si="34"/>
        <v>10</v>
      </c>
      <c r="G623" s="549"/>
    </row>
    <row r="624" spans="1:11" x14ac:dyDescent="0.2">
      <c r="A624" s="467"/>
      <c r="B624" s="486" t="s">
        <v>804</v>
      </c>
      <c r="C624" s="487" t="s">
        <v>774</v>
      </c>
      <c r="D624" s="487">
        <v>30</v>
      </c>
      <c r="E624" s="487">
        <v>1</v>
      </c>
      <c r="F624" s="487">
        <f t="shared" si="34"/>
        <v>30</v>
      </c>
      <c r="G624" s="549"/>
    </row>
    <row r="625" spans="1:9" x14ac:dyDescent="0.2">
      <c r="A625" s="467" t="s">
        <v>15</v>
      </c>
      <c r="B625" s="486"/>
      <c r="C625" s="487"/>
      <c r="D625" s="487"/>
      <c r="E625" s="487"/>
      <c r="F625" s="487"/>
      <c r="G625" s="549"/>
    </row>
    <row r="626" spans="1:9" x14ac:dyDescent="0.2">
      <c r="A626" s="467" t="str">
        <f>'Data-Liste'!F3</f>
        <v>Bureaux</v>
      </c>
      <c r="B626" s="486"/>
      <c r="C626" s="487"/>
      <c r="D626" s="487"/>
      <c r="E626" s="487"/>
      <c r="F626" s="487"/>
      <c r="G626" s="549"/>
    </row>
    <row r="627" spans="1:9" x14ac:dyDescent="0.2">
      <c r="A627" s="467" t="s">
        <v>800</v>
      </c>
      <c r="B627" s="486" t="s">
        <v>139</v>
      </c>
      <c r="C627" s="487"/>
      <c r="D627" s="492">
        <v>2</v>
      </c>
      <c r="E627" s="487">
        <v>1</v>
      </c>
      <c r="F627" s="487">
        <f t="shared" ref="F627:F633" si="35">D627*E627</f>
        <v>2</v>
      </c>
      <c r="G627" s="549"/>
    </row>
    <row r="628" spans="1:9" x14ac:dyDescent="0.2">
      <c r="A628" s="467"/>
      <c r="B628" s="486" t="s">
        <v>801</v>
      </c>
      <c r="C628" s="487" t="s">
        <v>774</v>
      </c>
      <c r="D628" s="487">
        <v>0</v>
      </c>
      <c r="E628" s="487">
        <v>1</v>
      </c>
      <c r="F628" s="487">
        <f t="shared" si="35"/>
        <v>0</v>
      </c>
      <c r="G628" s="549"/>
      <c r="I628" s="452">
        <v>0</v>
      </c>
    </row>
    <row r="629" spans="1:9" x14ac:dyDescent="0.2">
      <c r="A629" s="467"/>
      <c r="B629" s="486" t="s">
        <v>802</v>
      </c>
      <c r="C629" s="487" t="s">
        <v>774</v>
      </c>
      <c r="D629" s="487">
        <v>0.2</v>
      </c>
      <c r="E629" s="487">
        <v>1</v>
      </c>
      <c r="F629" s="487">
        <f t="shared" si="35"/>
        <v>0.2</v>
      </c>
      <c r="G629" s="549"/>
      <c r="I629" s="452">
        <v>0.2</v>
      </c>
    </row>
    <row r="630" spans="1:9" x14ac:dyDescent="0.2">
      <c r="A630" s="467"/>
      <c r="B630" s="486" t="s">
        <v>794</v>
      </c>
      <c r="C630" s="487" t="s">
        <v>774</v>
      </c>
      <c r="D630" s="487">
        <v>2</v>
      </c>
      <c r="E630" s="487">
        <v>1</v>
      </c>
      <c r="F630" s="487">
        <f t="shared" si="35"/>
        <v>2</v>
      </c>
      <c r="G630" s="549"/>
      <c r="I630" s="452">
        <v>2</v>
      </c>
    </row>
    <row r="631" spans="1:9" x14ac:dyDescent="0.2">
      <c r="A631" s="467"/>
      <c r="B631" s="486" t="s">
        <v>795</v>
      </c>
      <c r="C631" s="487" t="s">
        <v>774</v>
      </c>
      <c r="D631" s="487">
        <v>2</v>
      </c>
      <c r="E631" s="487">
        <v>1</v>
      </c>
      <c r="F631" s="487">
        <f t="shared" si="35"/>
        <v>2</v>
      </c>
      <c r="G631" s="549"/>
      <c r="I631" s="452">
        <v>2</v>
      </c>
    </row>
    <row r="632" spans="1:9" x14ac:dyDescent="0.2">
      <c r="A632" s="467"/>
      <c r="B632" s="486" t="s">
        <v>803</v>
      </c>
      <c r="C632" s="487" t="s">
        <v>774</v>
      </c>
      <c r="D632" s="487">
        <v>5</v>
      </c>
      <c r="E632" s="487">
        <v>1</v>
      </c>
      <c r="F632" s="487">
        <f t="shared" si="35"/>
        <v>5</v>
      </c>
      <c r="G632" s="549"/>
      <c r="I632" s="452">
        <v>5</v>
      </c>
    </row>
    <row r="633" spans="1:9" x14ac:dyDescent="0.2">
      <c r="A633" s="467"/>
      <c r="B633" s="486" t="s">
        <v>804</v>
      </c>
      <c r="C633" s="487" t="s">
        <v>774</v>
      </c>
      <c r="D633" s="487">
        <v>15</v>
      </c>
      <c r="E633" s="487">
        <v>1</v>
      </c>
      <c r="F633" s="487">
        <f t="shared" si="35"/>
        <v>15</v>
      </c>
      <c r="G633" s="549"/>
      <c r="I633" s="452">
        <v>15</v>
      </c>
    </row>
    <row r="634" spans="1:9" x14ac:dyDescent="0.2">
      <c r="A634" s="467" t="str">
        <f>'Data-Liste'!F4</f>
        <v>Enseignement scolaire</v>
      </c>
      <c r="B634" s="486"/>
      <c r="C634" s="487"/>
      <c r="D634" s="487"/>
      <c r="E634" s="487"/>
      <c r="F634" s="487"/>
      <c r="G634" s="549"/>
    </row>
    <row r="635" spans="1:9" x14ac:dyDescent="0.2">
      <c r="A635" s="558" t="s">
        <v>800</v>
      </c>
      <c r="B635" s="508" t="str">
        <f t="shared" ref="B635:B641" si="36">B627</f>
        <v>-</v>
      </c>
      <c r="C635" s="550"/>
      <c r="D635" s="492">
        <v>5</v>
      </c>
      <c r="E635" s="487">
        <v>1</v>
      </c>
      <c r="F635" s="487">
        <f t="shared" ref="F635:F641" si="37">D635*E635</f>
        <v>5</v>
      </c>
      <c r="G635" s="549"/>
    </row>
    <row r="636" spans="1:9" x14ac:dyDescent="0.2">
      <c r="A636" s="558"/>
      <c r="B636" s="508" t="str">
        <f t="shared" si="36"/>
        <v>sans</v>
      </c>
      <c r="C636" s="550" t="str">
        <f t="shared" ref="C636:C641" si="38">C628</f>
        <v>kWh / m² / an</v>
      </c>
      <c r="D636" s="487">
        <v>0</v>
      </c>
      <c r="E636" s="487">
        <v>1</v>
      </c>
      <c r="F636" s="487">
        <f t="shared" si="37"/>
        <v>0</v>
      </c>
      <c r="G636" s="549"/>
    </row>
    <row r="637" spans="1:9" x14ac:dyDescent="0.2">
      <c r="A637" s="558"/>
      <c r="B637" s="508" t="str">
        <f t="shared" si="36"/>
        <v>100 % solaire</v>
      </c>
      <c r="C637" s="550" t="str">
        <f t="shared" si="38"/>
        <v>kWh / m² / an</v>
      </c>
      <c r="D637" s="487">
        <v>0.2</v>
      </c>
      <c r="E637" s="487">
        <v>1</v>
      </c>
      <c r="F637" s="487">
        <f t="shared" si="37"/>
        <v>0.2</v>
      </c>
      <c r="G637" s="549"/>
    </row>
    <row r="638" spans="1:9" x14ac:dyDescent="0.2">
      <c r="A638" s="558"/>
      <c r="B638" s="508" t="str">
        <f t="shared" si="36"/>
        <v>solaire + appoint électrique</v>
      </c>
      <c r="C638" s="550" t="str">
        <f t="shared" si="38"/>
        <v>kWh / m² / an</v>
      </c>
      <c r="D638" s="487">
        <v>2</v>
      </c>
      <c r="E638" s="487">
        <v>1</v>
      </c>
      <c r="F638" s="487">
        <f t="shared" si="37"/>
        <v>2</v>
      </c>
      <c r="G638" s="549"/>
    </row>
    <row r="639" spans="1:9" x14ac:dyDescent="0.2">
      <c r="A639" s="558"/>
      <c r="B639" s="508" t="str">
        <f t="shared" si="36"/>
        <v>thermodynamique</v>
      </c>
      <c r="C639" s="550" t="str">
        <f t="shared" si="38"/>
        <v>kWh / m² / an</v>
      </c>
      <c r="D639" s="487">
        <v>2</v>
      </c>
      <c r="E639" s="487">
        <v>1</v>
      </c>
      <c r="F639" s="487">
        <f t="shared" si="37"/>
        <v>2</v>
      </c>
      <c r="G639" s="549"/>
    </row>
    <row r="640" spans="1:9" x14ac:dyDescent="0.2">
      <c r="A640" s="558"/>
      <c r="B640" s="508" t="str">
        <f t="shared" si="36"/>
        <v>ballon élec. à accumulateur</v>
      </c>
      <c r="C640" s="550" t="str">
        <f t="shared" si="38"/>
        <v>kWh / m² / an</v>
      </c>
      <c r="D640" s="487">
        <v>5</v>
      </c>
      <c r="E640" s="487">
        <v>1</v>
      </c>
      <c r="F640" s="487">
        <f t="shared" si="37"/>
        <v>5</v>
      </c>
      <c r="G640" s="549"/>
    </row>
    <row r="641" spans="1:7" x14ac:dyDescent="0.2">
      <c r="A641" s="558"/>
      <c r="B641" s="508" t="str">
        <f t="shared" si="36"/>
        <v>chauffe-eau instantané</v>
      </c>
      <c r="C641" s="550" t="str">
        <f t="shared" si="38"/>
        <v>kWh / m² / an</v>
      </c>
      <c r="D641" s="487">
        <v>15</v>
      </c>
      <c r="E641" s="487">
        <v>1</v>
      </c>
      <c r="F641" s="487">
        <f t="shared" si="37"/>
        <v>15</v>
      </c>
      <c r="G641" s="549"/>
    </row>
    <row r="642" spans="1:7" x14ac:dyDescent="0.2">
      <c r="A642" s="467" t="str">
        <f>'Data-Liste'!F5</f>
        <v>Enseignement supérieur</v>
      </c>
      <c r="B642" s="486"/>
      <c r="C642" s="487"/>
      <c r="D642" s="487"/>
      <c r="E642" s="487"/>
      <c r="F642" s="487"/>
      <c r="G642" s="549"/>
    </row>
    <row r="643" spans="1:7" x14ac:dyDescent="0.2">
      <c r="A643" s="558" t="s">
        <v>800</v>
      </c>
      <c r="B643" s="508" t="str">
        <f t="shared" ref="B643:B649" si="39">B635</f>
        <v>-</v>
      </c>
      <c r="C643" s="550"/>
      <c r="D643" s="492">
        <v>2.5</v>
      </c>
      <c r="E643" s="487">
        <v>1</v>
      </c>
      <c r="F643" s="487">
        <f t="shared" ref="F643:F649" si="40">D643*E643</f>
        <v>2.5</v>
      </c>
      <c r="G643" s="549"/>
    </row>
    <row r="644" spans="1:7" x14ac:dyDescent="0.2">
      <c r="A644" s="558"/>
      <c r="B644" s="508" t="str">
        <f t="shared" si="39"/>
        <v>sans</v>
      </c>
      <c r="C644" s="550" t="str">
        <f t="shared" ref="C644:C649" si="41">C628</f>
        <v>kWh / m² / an</v>
      </c>
      <c r="D644" s="487">
        <v>0</v>
      </c>
      <c r="E644" s="487">
        <v>1</v>
      </c>
      <c r="F644" s="487">
        <f t="shared" si="40"/>
        <v>0</v>
      </c>
      <c r="G644" s="549"/>
    </row>
    <row r="645" spans="1:7" x14ac:dyDescent="0.2">
      <c r="A645" s="558"/>
      <c r="B645" s="508" t="str">
        <f t="shared" si="39"/>
        <v>100 % solaire</v>
      </c>
      <c r="C645" s="550" t="str">
        <f t="shared" si="41"/>
        <v>kWh / m² / an</v>
      </c>
      <c r="D645" s="487">
        <v>0.1</v>
      </c>
      <c r="E645" s="487">
        <v>1</v>
      </c>
      <c r="F645" s="487">
        <f t="shared" si="40"/>
        <v>0.1</v>
      </c>
      <c r="G645" s="549"/>
    </row>
    <row r="646" spans="1:7" x14ac:dyDescent="0.2">
      <c r="A646" s="558"/>
      <c r="B646" s="508" t="str">
        <f t="shared" si="39"/>
        <v>solaire + appoint électrique</v>
      </c>
      <c r="C646" s="550" t="str">
        <f t="shared" si="41"/>
        <v>kWh / m² / an</v>
      </c>
      <c r="D646" s="487">
        <v>1</v>
      </c>
      <c r="E646" s="487">
        <v>1</v>
      </c>
      <c r="F646" s="487">
        <f t="shared" si="40"/>
        <v>1</v>
      </c>
      <c r="G646" s="549"/>
    </row>
    <row r="647" spans="1:7" x14ac:dyDescent="0.2">
      <c r="A647" s="558"/>
      <c r="B647" s="508" t="str">
        <f t="shared" si="39"/>
        <v>thermodynamique</v>
      </c>
      <c r="C647" s="550" t="str">
        <f t="shared" si="41"/>
        <v>kWh / m² / an</v>
      </c>
      <c r="D647" s="487">
        <v>1</v>
      </c>
      <c r="E647" s="487">
        <v>1</v>
      </c>
      <c r="F647" s="487">
        <f t="shared" si="40"/>
        <v>1</v>
      </c>
      <c r="G647" s="549"/>
    </row>
    <row r="648" spans="1:7" x14ac:dyDescent="0.2">
      <c r="A648" s="558"/>
      <c r="B648" s="508" t="str">
        <f t="shared" si="39"/>
        <v>ballon élec. à accumulateur</v>
      </c>
      <c r="C648" s="550" t="str">
        <f t="shared" si="41"/>
        <v>kWh / m² / an</v>
      </c>
      <c r="D648" s="487">
        <v>2.5</v>
      </c>
      <c r="E648" s="487">
        <v>1</v>
      </c>
      <c r="F648" s="487">
        <f t="shared" si="40"/>
        <v>2.5</v>
      </c>
      <c r="G648" s="549"/>
    </row>
    <row r="649" spans="1:7" x14ac:dyDescent="0.2">
      <c r="A649" s="558"/>
      <c r="B649" s="508" t="str">
        <f t="shared" si="39"/>
        <v>chauffe-eau instantané</v>
      </c>
      <c r="C649" s="550" t="str">
        <f t="shared" si="41"/>
        <v>kWh / m² / an</v>
      </c>
      <c r="D649" s="487">
        <v>7.5</v>
      </c>
      <c r="E649" s="487">
        <v>1</v>
      </c>
      <c r="F649" s="487">
        <f t="shared" si="40"/>
        <v>7.5</v>
      </c>
      <c r="G649" s="549"/>
    </row>
    <row r="650" spans="1:7" x14ac:dyDescent="0.2">
      <c r="A650" s="467" t="str">
        <f>'Data-Liste'!F7</f>
        <v>Inconnu (livré en blanc)</v>
      </c>
      <c r="B650" s="486"/>
      <c r="C650" s="487"/>
      <c r="D650" s="487"/>
      <c r="E650" s="487"/>
      <c r="F650" s="487"/>
      <c r="G650" s="549"/>
    </row>
    <row r="651" spans="1:7" x14ac:dyDescent="0.2">
      <c r="A651" s="558" t="s">
        <v>800</v>
      </c>
      <c r="B651" s="508" t="str">
        <f t="shared" ref="B651:B657" si="42">B643</f>
        <v>-</v>
      </c>
      <c r="C651" s="550"/>
      <c r="D651" s="492">
        <v>5</v>
      </c>
      <c r="E651" s="487">
        <v>1</v>
      </c>
      <c r="F651" s="487">
        <f t="shared" ref="F651:F657" si="43">D651*E651</f>
        <v>5</v>
      </c>
      <c r="G651" s="549"/>
    </row>
    <row r="652" spans="1:7" x14ac:dyDescent="0.2">
      <c r="A652" s="558"/>
      <c r="B652" s="508" t="str">
        <f t="shared" si="42"/>
        <v>sans</v>
      </c>
      <c r="C652" s="550" t="str">
        <f t="shared" ref="C652:C657" si="44">C636</f>
        <v>kWh / m² / an</v>
      </c>
      <c r="D652" s="487">
        <v>0</v>
      </c>
      <c r="E652" s="487">
        <v>1</v>
      </c>
      <c r="F652" s="487">
        <f t="shared" si="43"/>
        <v>0</v>
      </c>
      <c r="G652" s="549"/>
    </row>
    <row r="653" spans="1:7" x14ac:dyDescent="0.2">
      <c r="A653" s="558"/>
      <c r="B653" s="508" t="str">
        <f t="shared" si="42"/>
        <v>100 % solaire</v>
      </c>
      <c r="C653" s="550" t="str">
        <f t="shared" si="44"/>
        <v>kWh / m² / an</v>
      </c>
      <c r="D653" s="487">
        <v>0.1</v>
      </c>
      <c r="E653" s="487">
        <v>1</v>
      </c>
      <c r="F653" s="487">
        <f t="shared" si="43"/>
        <v>0.1</v>
      </c>
      <c r="G653" s="549"/>
    </row>
    <row r="654" spans="1:7" x14ac:dyDescent="0.2">
      <c r="A654" s="558"/>
      <c r="B654" s="508" t="str">
        <f t="shared" si="42"/>
        <v>solaire + appoint électrique</v>
      </c>
      <c r="C654" s="550" t="str">
        <f t="shared" si="44"/>
        <v>kWh / m² / an</v>
      </c>
      <c r="D654" s="487">
        <v>1</v>
      </c>
      <c r="E654" s="487">
        <v>1</v>
      </c>
      <c r="F654" s="487">
        <f t="shared" si="43"/>
        <v>1</v>
      </c>
      <c r="G654" s="549"/>
    </row>
    <row r="655" spans="1:7" x14ac:dyDescent="0.2">
      <c r="A655" s="558"/>
      <c r="B655" s="508" t="str">
        <f t="shared" si="42"/>
        <v>thermodynamique</v>
      </c>
      <c r="C655" s="550" t="str">
        <f t="shared" si="44"/>
        <v>kWh / m² / an</v>
      </c>
      <c r="D655" s="487">
        <v>1</v>
      </c>
      <c r="E655" s="487">
        <v>1</v>
      </c>
      <c r="F655" s="487">
        <f t="shared" si="43"/>
        <v>1</v>
      </c>
      <c r="G655" s="549"/>
    </row>
    <row r="656" spans="1:7" x14ac:dyDescent="0.2">
      <c r="A656" s="558"/>
      <c r="B656" s="508" t="str">
        <f t="shared" si="42"/>
        <v>ballon élec. à accumulateur</v>
      </c>
      <c r="C656" s="550" t="str">
        <f t="shared" si="44"/>
        <v>kWh / m² / an</v>
      </c>
      <c r="D656" s="487">
        <v>2.5</v>
      </c>
      <c r="E656" s="487">
        <v>1</v>
      </c>
      <c r="F656" s="487">
        <f t="shared" si="43"/>
        <v>2.5</v>
      </c>
      <c r="G656" s="549"/>
    </row>
    <row r="657" spans="1:11" x14ac:dyDescent="0.2">
      <c r="A657" s="558"/>
      <c r="B657" s="508" t="str">
        <f t="shared" si="42"/>
        <v>chauffe-eau instantané</v>
      </c>
      <c r="C657" s="550" t="str">
        <f t="shared" si="44"/>
        <v>kWh / m² / an</v>
      </c>
      <c r="D657" s="487">
        <v>7.5</v>
      </c>
      <c r="E657" s="487">
        <v>1</v>
      </c>
      <c r="F657" s="487">
        <f t="shared" si="43"/>
        <v>7.5</v>
      </c>
      <c r="G657" s="549"/>
    </row>
    <row r="658" spans="1:11" x14ac:dyDescent="0.2">
      <c r="A658" s="467" t="s">
        <v>172</v>
      </c>
      <c r="B658" s="486" t="s">
        <v>494</v>
      </c>
      <c r="C658" s="487" t="s">
        <v>495</v>
      </c>
      <c r="D658" s="509">
        <v>0.5</v>
      </c>
      <c r="E658" s="487"/>
      <c r="F658" s="487"/>
      <c r="G658" s="487"/>
    </row>
    <row r="659" spans="1:11" ht="16.5" customHeight="1" x14ac:dyDescent="0.2">
      <c r="A659" s="568" t="s">
        <v>322</v>
      </c>
      <c r="B659" s="569"/>
      <c r="C659" s="570"/>
      <c r="D659" s="570"/>
      <c r="E659" s="570"/>
      <c r="F659" s="570"/>
      <c r="G659" s="571"/>
      <c r="H659" s="572"/>
      <c r="I659" s="572"/>
      <c r="J659" s="573"/>
      <c r="K659" s="573"/>
    </row>
    <row r="660" spans="1:11" x14ac:dyDescent="0.2">
      <c r="A660" s="467" t="s">
        <v>805</v>
      </c>
      <c r="B660" s="486"/>
      <c r="C660" s="487"/>
      <c r="D660" s="509"/>
      <c r="E660" s="487"/>
      <c r="F660" s="509"/>
      <c r="G660" s="603"/>
      <c r="I660" s="475"/>
      <c r="J660" s="602"/>
      <c r="K660" s="602"/>
    </row>
    <row r="661" spans="1:11" x14ac:dyDescent="0.2">
      <c r="A661" s="467" t="s">
        <v>326</v>
      </c>
      <c r="B661" s="486" t="s">
        <v>139</v>
      </c>
      <c r="C661" s="487"/>
      <c r="D661" s="492">
        <v>0</v>
      </c>
      <c r="E661" s="487">
        <v>1</v>
      </c>
      <c r="F661" s="492">
        <f t="shared" ref="F661:F668" si="45">D661*E661</f>
        <v>0</v>
      </c>
      <c r="G661" s="549"/>
      <c r="I661" s="475"/>
      <c r="J661" s="602"/>
      <c r="K661" s="602"/>
    </row>
    <row r="662" spans="1:11" x14ac:dyDescent="0.2">
      <c r="A662" s="467"/>
      <c r="B662" s="486" t="s">
        <v>733</v>
      </c>
      <c r="C662" s="487" t="s">
        <v>774</v>
      </c>
      <c r="D662" s="492">
        <v>3000</v>
      </c>
      <c r="E662" s="487">
        <v>1</v>
      </c>
      <c r="F662" s="492">
        <f t="shared" si="45"/>
        <v>3000</v>
      </c>
      <c r="G662" s="549"/>
      <c r="I662" s="475">
        <v>3000</v>
      </c>
      <c r="J662" s="602"/>
      <c r="K662" s="602"/>
    </row>
    <row r="663" spans="1:11" x14ac:dyDescent="0.2">
      <c r="A663" s="467"/>
      <c r="B663" s="486" t="s">
        <v>734</v>
      </c>
      <c r="C663" s="487" t="s">
        <v>774</v>
      </c>
      <c r="D663" s="492">
        <v>2500</v>
      </c>
      <c r="E663" s="487">
        <v>1</v>
      </c>
      <c r="F663" s="492">
        <f t="shared" si="45"/>
        <v>2500</v>
      </c>
      <c r="G663" s="549"/>
      <c r="I663" s="475">
        <v>2500</v>
      </c>
      <c r="J663" s="602"/>
      <c r="K663" s="602"/>
    </row>
    <row r="664" spans="1:11" x14ac:dyDescent="0.2">
      <c r="A664" s="467"/>
      <c r="B664" s="486" t="s">
        <v>735</v>
      </c>
      <c r="C664" s="487" t="s">
        <v>774</v>
      </c>
      <c r="D664" s="492">
        <v>2000</v>
      </c>
      <c r="E664" s="487">
        <v>1</v>
      </c>
      <c r="F664" s="492">
        <f t="shared" si="45"/>
        <v>2000</v>
      </c>
      <c r="G664" s="549"/>
      <c r="I664" s="475">
        <v>2000</v>
      </c>
      <c r="J664" s="602"/>
      <c r="K664" s="602"/>
    </row>
    <row r="665" spans="1:11" x14ac:dyDescent="0.2">
      <c r="A665" s="467" t="s">
        <v>806</v>
      </c>
      <c r="B665" s="508" t="s">
        <v>139</v>
      </c>
      <c r="C665" s="550"/>
      <c r="D665" s="492">
        <v>0</v>
      </c>
      <c r="E665" s="487">
        <v>1</v>
      </c>
      <c r="F665" s="492">
        <f t="shared" si="45"/>
        <v>0</v>
      </c>
      <c r="G665" s="549"/>
      <c r="I665" s="475"/>
      <c r="J665" s="602"/>
      <c r="K665" s="602"/>
    </row>
    <row r="666" spans="1:11" x14ac:dyDescent="0.2">
      <c r="A666" s="467"/>
      <c r="B666" s="508" t="s">
        <v>733</v>
      </c>
      <c r="C666" s="550" t="s">
        <v>774</v>
      </c>
      <c r="D666" s="492">
        <v>6000</v>
      </c>
      <c r="E666" s="487">
        <v>1</v>
      </c>
      <c r="F666" s="492">
        <f t="shared" si="45"/>
        <v>6000</v>
      </c>
      <c r="G666" s="549"/>
      <c r="I666" s="475">
        <v>6000</v>
      </c>
      <c r="J666" s="602"/>
      <c r="K666" s="602"/>
    </row>
    <row r="667" spans="1:11" x14ac:dyDescent="0.2">
      <c r="A667" s="467"/>
      <c r="B667" s="508" t="s">
        <v>734</v>
      </c>
      <c r="C667" s="550" t="s">
        <v>774</v>
      </c>
      <c r="D667" s="492">
        <v>5000</v>
      </c>
      <c r="E667" s="487">
        <v>1</v>
      </c>
      <c r="F667" s="492">
        <f t="shared" si="45"/>
        <v>5000</v>
      </c>
      <c r="G667" s="549"/>
      <c r="I667" s="475">
        <v>5000</v>
      </c>
      <c r="J667" s="602"/>
      <c r="K667" s="602"/>
    </row>
    <row r="668" spans="1:11" x14ac:dyDescent="0.2">
      <c r="A668" s="467"/>
      <c r="B668" s="508" t="s">
        <v>735</v>
      </c>
      <c r="C668" s="550" t="s">
        <v>774</v>
      </c>
      <c r="D668" s="492">
        <v>4000</v>
      </c>
      <c r="E668" s="487">
        <v>1</v>
      </c>
      <c r="F668" s="492">
        <f t="shared" si="45"/>
        <v>4000</v>
      </c>
      <c r="G668" s="549"/>
      <c r="I668" s="475">
        <v>4000</v>
      </c>
      <c r="J668" s="602"/>
      <c r="K668" s="602"/>
    </row>
    <row r="669" spans="1:11" x14ac:dyDescent="0.2">
      <c r="A669" s="467" t="s">
        <v>327</v>
      </c>
      <c r="B669" s="486"/>
      <c r="C669" s="487"/>
      <c r="D669" s="492"/>
      <c r="E669" s="487"/>
      <c r="F669" s="492"/>
      <c r="G669" s="549"/>
      <c r="I669" s="475"/>
      <c r="J669" s="602"/>
      <c r="K669" s="602"/>
    </row>
    <row r="670" spans="1:11" x14ac:dyDescent="0.2">
      <c r="A670" s="467" t="s">
        <v>326</v>
      </c>
      <c r="B670" s="486" t="s">
        <v>139</v>
      </c>
      <c r="C670" s="487"/>
      <c r="D670" s="492">
        <v>0</v>
      </c>
      <c r="E670" s="487">
        <v>1</v>
      </c>
      <c r="F670" s="492">
        <f>D670*E670</f>
        <v>0</v>
      </c>
      <c r="G670" s="549"/>
      <c r="I670" s="475"/>
      <c r="J670" s="602"/>
      <c r="K670" s="602"/>
    </row>
    <row r="671" spans="1:11" x14ac:dyDescent="0.2">
      <c r="A671" s="467"/>
      <c r="B671" s="486" t="s">
        <v>733</v>
      </c>
      <c r="C671" s="487" t="s">
        <v>807</v>
      </c>
      <c r="D671" s="492">
        <v>4000</v>
      </c>
      <c r="E671" s="487">
        <v>1</v>
      </c>
      <c r="F671" s="492">
        <f>D671*E671</f>
        <v>4000</v>
      </c>
      <c r="G671" s="549"/>
      <c r="I671" s="475">
        <v>4000</v>
      </c>
      <c r="J671" s="602"/>
      <c r="K671" s="602"/>
    </row>
    <row r="672" spans="1:11" x14ac:dyDescent="0.2">
      <c r="A672" s="467"/>
      <c r="B672" s="486" t="s">
        <v>734</v>
      </c>
      <c r="C672" s="487" t="s">
        <v>807</v>
      </c>
      <c r="D672" s="492">
        <v>3000</v>
      </c>
      <c r="E672" s="487">
        <v>1</v>
      </c>
      <c r="F672" s="492">
        <f>D672*E672</f>
        <v>3000</v>
      </c>
      <c r="G672" s="549"/>
      <c r="I672" s="475">
        <v>3000</v>
      </c>
      <c r="J672" s="602"/>
      <c r="K672" s="602"/>
    </row>
    <row r="673" spans="1:11" x14ac:dyDescent="0.2">
      <c r="A673" s="467"/>
      <c r="B673" s="486" t="s">
        <v>735</v>
      </c>
      <c r="C673" s="487" t="s">
        <v>807</v>
      </c>
      <c r="D673" s="492">
        <v>2000</v>
      </c>
      <c r="E673" s="487">
        <v>1</v>
      </c>
      <c r="F673" s="492">
        <f>D673*E673</f>
        <v>2000</v>
      </c>
      <c r="G673" s="549"/>
      <c r="I673" s="475">
        <v>2000</v>
      </c>
      <c r="J673" s="602"/>
      <c r="K673" s="602"/>
    </row>
    <row r="674" spans="1:11" x14ac:dyDescent="0.2">
      <c r="A674" s="467" t="s">
        <v>172</v>
      </c>
      <c r="B674" s="486" t="s">
        <v>494</v>
      </c>
      <c r="C674" s="487" t="s">
        <v>495</v>
      </c>
      <c r="D674" s="509">
        <v>0.5</v>
      </c>
      <c r="E674" s="487"/>
      <c r="F674" s="487"/>
      <c r="G674" s="487"/>
      <c r="I674" s="475"/>
      <c r="J674" s="602"/>
      <c r="K674" s="602"/>
    </row>
    <row r="675" spans="1:11" ht="16.5" customHeight="1" x14ac:dyDescent="0.2">
      <c r="A675" s="568" t="s">
        <v>328</v>
      </c>
      <c r="B675" s="569"/>
      <c r="C675" s="570"/>
      <c r="D675" s="570"/>
      <c r="E675" s="570"/>
      <c r="F675" s="570"/>
      <c r="G675" s="571"/>
      <c r="H675" s="572"/>
      <c r="I675" s="572"/>
      <c r="J675" s="573"/>
      <c r="K675" s="573"/>
    </row>
    <row r="676" spans="1:11" x14ac:dyDescent="0.2">
      <c r="A676" s="467" t="s">
        <v>235</v>
      </c>
      <c r="B676" s="486" t="s">
        <v>139</v>
      </c>
      <c r="C676" s="487"/>
      <c r="D676" s="492">
        <v>100</v>
      </c>
      <c r="E676" s="487">
        <v>1</v>
      </c>
      <c r="F676" s="487">
        <f>D676*E676</f>
        <v>100</v>
      </c>
      <c r="G676" s="549"/>
    </row>
    <row r="677" spans="1:11" x14ac:dyDescent="0.2">
      <c r="A677" s="467"/>
      <c r="B677" s="486" t="s">
        <v>808</v>
      </c>
      <c r="C677" s="487" t="s">
        <v>809</v>
      </c>
      <c r="D677" s="487">
        <v>100</v>
      </c>
      <c r="E677" s="487">
        <v>1</v>
      </c>
      <c r="F677" s="487">
        <f>D677*E677</f>
        <v>100</v>
      </c>
      <c r="G677" s="549"/>
    </row>
    <row r="678" spans="1:11" x14ac:dyDescent="0.2">
      <c r="A678" s="467"/>
      <c r="B678" s="486" t="s">
        <v>810</v>
      </c>
      <c r="C678" s="487" t="s">
        <v>809</v>
      </c>
      <c r="D678" s="487">
        <v>225</v>
      </c>
      <c r="E678" s="487">
        <v>1</v>
      </c>
      <c r="F678" s="487">
        <f>D678*E678</f>
        <v>225</v>
      </c>
      <c r="G678" s="549"/>
    </row>
    <row r="679" spans="1:11" x14ac:dyDescent="0.2">
      <c r="A679" s="467" t="s">
        <v>172</v>
      </c>
      <c r="B679" s="486" t="s">
        <v>494</v>
      </c>
      <c r="C679" s="487" t="s">
        <v>495</v>
      </c>
      <c r="D679" s="509">
        <v>0.4</v>
      </c>
      <c r="E679" s="487"/>
      <c r="F679" s="487"/>
      <c r="G679" s="487"/>
    </row>
    <row r="680" spans="1:11" ht="16.5" customHeight="1" x14ac:dyDescent="0.2">
      <c r="A680" s="568" t="s">
        <v>331</v>
      </c>
      <c r="B680" s="569"/>
      <c r="C680" s="570"/>
      <c r="D680" s="570"/>
      <c r="E680" s="570"/>
      <c r="F680" s="570"/>
      <c r="G680" s="571"/>
      <c r="H680" s="572"/>
      <c r="I680" s="572"/>
      <c r="J680" s="573"/>
      <c r="K680" s="573"/>
    </row>
    <row r="681" spans="1:11" x14ac:dyDescent="0.2">
      <c r="A681" s="557"/>
      <c r="B681" s="486" t="s">
        <v>811</v>
      </c>
      <c r="C681" s="487" t="s">
        <v>812</v>
      </c>
      <c r="D681" s="607">
        <v>0.2</v>
      </c>
      <c r="E681" s="487">
        <v>1</v>
      </c>
      <c r="F681" s="607">
        <f>D681*E681</f>
        <v>0.2</v>
      </c>
      <c r="G681" s="549"/>
    </row>
    <row r="682" spans="1:11" x14ac:dyDescent="0.2">
      <c r="A682" s="467" t="s">
        <v>172</v>
      </c>
      <c r="B682" s="486" t="s">
        <v>494</v>
      </c>
      <c r="C682" s="487" t="s">
        <v>495</v>
      </c>
      <c r="D682" s="509">
        <v>0.4</v>
      </c>
      <c r="E682" s="532"/>
      <c r="F682" s="532"/>
      <c r="G682" s="487"/>
    </row>
    <row r="683" spans="1:11" x14ac:dyDescent="0.2">
      <c r="A683" s="467" t="s">
        <v>813</v>
      </c>
      <c r="B683" s="486"/>
      <c r="C683" s="487" t="s">
        <v>495</v>
      </c>
      <c r="D683" s="608"/>
      <c r="E683" s="532"/>
      <c r="F683" s="609">
        <v>0.8</v>
      </c>
      <c r="G683" s="487"/>
    </row>
    <row r="684" spans="1:11" ht="16.5" customHeight="1" x14ac:dyDescent="0.2">
      <c r="A684" s="568" t="s">
        <v>814</v>
      </c>
      <c r="B684" s="569"/>
      <c r="C684" s="570"/>
      <c r="D684" s="570"/>
      <c r="E684" s="570"/>
      <c r="F684" s="570"/>
      <c r="G684" s="571"/>
      <c r="H684" s="572"/>
      <c r="I684" s="572"/>
      <c r="J684" s="573"/>
      <c r="K684" s="573"/>
    </row>
    <row r="685" spans="1:11" x14ac:dyDescent="0.2">
      <c r="A685" s="467" t="s">
        <v>815</v>
      </c>
      <c r="B685" s="486"/>
      <c r="C685" s="487" t="s">
        <v>816</v>
      </c>
      <c r="D685" s="492">
        <v>1400</v>
      </c>
      <c r="E685" s="487"/>
      <c r="F685" s="487"/>
      <c r="G685" s="549"/>
    </row>
    <row r="686" spans="1:11" x14ac:dyDescent="0.2">
      <c r="A686" s="610"/>
      <c r="B686" s="486" t="s">
        <v>817</v>
      </c>
      <c r="C686" s="487" t="s">
        <v>495</v>
      </c>
      <c r="D686" s="509">
        <v>-0.3</v>
      </c>
      <c r="E686" s="487"/>
      <c r="F686" s="509"/>
      <c r="G686" s="603"/>
      <c r="I686" s="599">
        <v>-0.65</v>
      </c>
      <c r="J686" s="600"/>
      <c r="K686" s="600"/>
    </row>
    <row r="687" spans="1:11" ht="16.5" customHeight="1" x14ac:dyDescent="0.2">
      <c r="A687" s="568" t="s">
        <v>344</v>
      </c>
      <c r="B687" s="569"/>
      <c r="C687" s="570"/>
      <c r="D687" s="570"/>
      <c r="E687" s="570"/>
      <c r="F687" s="570"/>
      <c r="G687" s="571"/>
      <c r="H687" s="572"/>
      <c r="I687" s="572"/>
      <c r="J687" s="573"/>
      <c r="K687" s="573"/>
    </row>
    <row r="688" spans="1:11" ht="12.75" customHeight="1" x14ac:dyDescent="0.2">
      <c r="A688" s="467" t="s">
        <v>346</v>
      </c>
      <c r="B688" s="486" t="s">
        <v>139</v>
      </c>
      <c r="C688" s="487"/>
      <c r="D688" s="493">
        <v>1.1000000000000001</v>
      </c>
      <c r="E688" s="532"/>
      <c r="F688" s="611"/>
      <c r="G688" s="549"/>
      <c r="H688" s="549"/>
    </row>
    <row r="689" spans="1:11" x14ac:dyDescent="0.2">
      <c r="A689" s="467"/>
      <c r="B689" s="486" t="s">
        <v>818</v>
      </c>
      <c r="C689" s="487" t="s">
        <v>478</v>
      </c>
      <c r="D689" s="487">
        <v>1</v>
      </c>
      <c r="E689" s="532"/>
      <c r="F689" s="532"/>
      <c r="G689" s="549"/>
      <c r="H689" s="549"/>
      <c r="I689" s="452">
        <v>1</v>
      </c>
    </row>
    <row r="690" spans="1:11" x14ac:dyDescent="0.2">
      <c r="A690" s="467"/>
      <c r="B690" s="486" t="s">
        <v>819</v>
      </c>
      <c r="C690" s="487" t="s">
        <v>478</v>
      </c>
      <c r="D690" s="493">
        <v>1.2</v>
      </c>
      <c r="E690" s="532"/>
      <c r="F690" s="532"/>
      <c r="G690" s="549"/>
      <c r="H690" s="549"/>
      <c r="I690" s="452">
        <v>1.2</v>
      </c>
    </row>
    <row r="691" spans="1:11" x14ac:dyDescent="0.2">
      <c r="A691" s="467" t="s">
        <v>347</v>
      </c>
      <c r="B691" s="486" t="s">
        <v>139</v>
      </c>
      <c r="C691" s="487"/>
      <c r="D691" s="487">
        <f>D693</f>
        <v>1</v>
      </c>
      <c r="E691" s="532"/>
      <c r="F691" s="532"/>
      <c r="G691" s="549"/>
      <c r="H691" s="549"/>
    </row>
    <row r="692" spans="1:11" x14ac:dyDescent="0.2">
      <c r="A692" s="467"/>
      <c r="B692" s="486" t="s">
        <v>819</v>
      </c>
      <c r="C692" s="487" t="s">
        <v>478</v>
      </c>
      <c r="D692" s="493">
        <v>1.2</v>
      </c>
      <c r="E692" s="532"/>
      <c r="F692" s="532"/>
      <c r="G692" s="549"/>
      <c r="H692" s="549"/>
      <c r="I692" s="452">
        <v>1.2</v>
      </c>
    </row>
    <row r="693" spans="1:11" x14ac:dyDescent="0.2">
      <c r="A693" s="467"/>
      <c r="B693" s="486" t="s">
        <v>820</v>
      </c>
      <c r="C693" s="487" t="s">
        <v>478</v>
      </c>
      <c r="D693" s="487">
        <v>1</v>
      </c>
      <c r="E693" s="532"/>
      <c r="F693" s="611"/>
      <c r="G693" s="549"/>
      <c r="H693" s="549"/>
      <c r="I693" s="452">
        <v>1</v>
      </c>
    </row>
    <row r="694" spans="1:11" x14ac:dyDescent="0.2">
      <c r="A694" s="467"/>
      <c r="B694" s="486" t="s">
        <v>821</v>
      </c>
      <c r="C694" s="487" t="s">
        <v>478</v>
      </c>
      <c r="D694" s="493">
        <v>0.8</v>
      </c>
      <c r="E694" s="532"/>
      <c r="F694" s="532"/>
      <c r="G694" s="549"/>
      <c r="H694" s="549"/>
      <c r="I694" s="452">
        <v>0.8</v>
      </c>
    </row>
    <row r="695" spans="1:11" x14ac:dyDescent="0.2">
      <c r="A695" s="467"/>
      <c r="B695" s="486"/>
      <c r="C695" s="487"/>
      <c r="D695" s="487"/>
      <c r="E695" s="487"/>
      <c r="F695" s="487"/>
      <c r="G695" s="549"/>
    </row>
    <row r="696" spans="1:11" ht="27.75" customHeight="1" x14ac:dyDescent="0.2">
      <c r="A696" s="612" t="s">
        <v>349</v>
      </c>
      <c r="B696" s="613"/>
      <c r="C696" s="613"/>
      <c r="D696" s="613"/>
      <c r="E696" s="613"/>
      <c r="F696" s="613"/>
      <c r="G696" s="613"/>
      <c r="H696" s="614" t="s">
        <v>822</v>
      </c>
      <c r="I696" s="614"/>
      <c r="J696" s="615"/>
      <c r="K696" s="615"/>
    </row>
    <row r="697" spans="1:11" x14ac:dyDescent="0.2">
      <c r="A697" s="485"/>
      <c r="B697" s="486" t="s">
        <v>823</v>
      </c>
      <c r="C697" s="487" t="s">
        <v>824</v>
      </c>
      <c r="D697" s="492">
        <f>0.2*200*2</f>
        <v>80</v>
      </c>
      <c r="E697" s="487"/>
      <c r="F697" s="487"/>
      <c r="G697" s="549"/>
      <c r="H697" s="452" t="s">
        <v>825</v>
      </c>
    </row>
    <row r="698" spans="1:11" x14ac:dyDescent="0.2">
      <c r="A698" s="485"/>
      <c r="B698" s="486" t="s">
        <v>826</v>
      </c>
      <c r="C698" s="487" t="s">
        <v>824</v>
      </c>
      <c r="D698" s="492">
        <f>D697/2</f>
        <v>40</v>
      </c>
      <c r="E698" s="487"/>
      <c r="F698" s="487"/>
      <c r="G698" s="549"/>
      <c r="H698" s="452" t="s">
        <v>827</v>
      </c>
    </row>
    <row r="699" spans="1:11" x14ac:dyDescent="0.2">
      <c r="A699" s="485"/>
      <c r="B699" s="486" t="s">
        <v>828</v>
      </c>
      <c r="C699" s="487" t="s">
        <v>829</v>
      </c>
      <c r="D699" s="541">
        <v>0.5</v>
      </c>
      <c r="E699" s="487"/>
      <c r="F699" s="487"/>
      <c r="G699" s="549"/>
      <c r="H699" s="452" t="s">
        <v>479</v>
      </c>
    </row>
    <row r="700" spans="1:11" x14ac:dyDescent="0.2">
      <c r="A700" s="485"/>
      <c r="B700" s="486" t="s">
        <v>830</v>
      </c>
      <c r="C700" s="487" t="s">
        <v>829</v>
      </c>
      <c r="D700" s="541">
        <v>0.1</v>
      </c>
      <c r="E700" s="487"/>
      <c r="F700" s="487"/>
      <c r="G700" s="549"/>
      <c r="H700" s="452" t="s">
        <v>479</v>
      </c>
    </row>
    <row r="701" spans="1:11" x14ac:dyDescent="0.2">
      <c r="A701" s="485"/>
      <c r="B701" s="486" t="s">
        <v>831</v>
      </c>
      <c r="C701" s="487" t="s">
        <v>832</v>
      </c>
      <c r="D701" s="487">
        <v>1.5</v>
      </c>
      <c r="E701" s="487"/>
      <c r="F701" s="487"/>
      <c r="G701" s="549"/>
      <c r="H701" s="452" t="s">
        <v>479</v>
      </c>
    </row>
    <row r="702" spans="1:11" x14ac:dyDescent="0.2">
      <c r="A702" s="485" t="s">
        <v>7</v>
      </c>
      <c r="B702" s="486"/>
      <c r="C702" s="487"/>
      <c r="D702" s="541"/>
      <c r="E702" s="487"/>
      <c r="F702" s="487"/>
      <c r="G702" s="549"/>
    </row>
    <row r="703" spans="1:11" x14ac:dyDescent="0.2">
      <c r="A703" s="467" t="s">
        <v>355</v>
      </c>
      <c r="B703" s="486" t="s">
        <v>139</v>
      </c>
      <c r="C703" s="487"/>
      <c r="D703" s="487">
        <v>0.25</v>
      </c>
      <c r="E703" s="532"/>
      <c r="F703" s="611"/>
      <c r="G703" s="586"/>
    </row>
    <row r="704" spans="1:11" x14ac:dyDescent="0.2">
      <c r="A704" s="467"/>
      <c r="B704" s="486" t="s">
        <v>833</v>
      </c>
      <c r="C704" s="487" t="s">
        <v>478</v>
      </c>
      <c r="D704" s="487">
        <v>0</v>
      </c>
      <c r="E704" s="532"/>
      <c r="F704" s="532"/>
      <c r="G704" s="549"/>
      <c r="I704" s="452">
        <v>0</v>
      </c>
    </row>
    <row r="705" spans="1:9" x14ac:dyDescent="0.2">
      <c r="A705" s="467"/>
      <c r="B705" s="486" t="s">
        <v>733</v>
      </c>
      <c r="C705" s="487" t="s">
        <v>478</v>
      </c>
      <c r="D705" s="487">
        <v>0.25</v>
      </c>
      <c r="E705" s="532"/>
      <c r="F705" s="532"/>
      <c r="G705" s="549"/>
      <c r="I705" s="452">
        <v>0.2</v>
      </c>
    </row>
    <row r="706" spans="1:9" x14ac:dyDescent="0.2">
      <c r="A706" s="467"/>
      <c r="B706" s="486" t="s">
        <v>834</v>
      </c>
      <c r="C706" s="487" t="s">
        <v>478</v>
      </c>
      <c r="D706" s="487">
        <v>0.5</v>
      </c>
      <c r="E706" s="532"/>
      <c r="F706" s="532"/>
      <c r="G706" s="549"/>
      <c r="I706" s="452">
        <v>0.5</v>
      </c>
    </row>
    <row r="707" spans="1:9" x14ac:dyDescent="0.2">
      <c r="A707" s="467"/>
      <c r="B707" s="486" t="s">
        <v>835</v>
      </c>
      <c r="C707" s="487" t="s">
        <v>478</v>
      </c>
      <c r="D707" s="487">
        <v>1</v>
      </c>
      <c r="E707" s="532"/>
      <c r="F707" s="532"/>
      <c r="G707" s="549"/>
      <c r="I707" s="452">
        <v>1</v>
      </c>
    </row>
    <row r="708" spans="1:9" x14ac:dyDescent="0.2">
      <c r="A708" s="467" t="s">
        <v>356</v>
      </c>
      <c r="B708" s="486" t="s">
        <v>139</v>
      </c>
      <c r="C708" s="487"/>
      <c r="D708" s="487">
        <v>0.25</v>
      </c>
      <c r="E708" s="532"/>
      <c r="F708" s="611"/>
      <c r="G708" s="586"/>
    </row>
    <row r="709" spans="1:9" x14ac:dyDescent="0.2">
      <c r="A709" s="467"/>
      <c r="B709" s="486" t="s">
        <v>836</v>
      </c>
      <c r="C709" s="487" t="s">
        <v>478</v>
      </c>
      <c r="D709" s="487">
        <v>0</v>
      </c>
      <c r="E709" s="532"/>
      <c r="F709" s="532"/>
      <c r="G709" s="549"/>
      <c r="I709" s="452">
        <v>0</v>
      </c>
    </row>
    <row r="710" spans="1:9" x14ac:dyDescent="0.2">
      <c r="A710" s="467"/>
      <c r="B710" s="486" t="s">
        <v>837</v>
      </c>
      <c r="C710" s="487" t="s">
        <v>478</v>
      </c>
      <c r="D710" s="487">
        <v>0.25</v>
      </c>
      <c r="E710" s="532"/>
      <c r="F710" s="532"/>
      <c r="G710" s="549"/>
      <c r="I710" s="452">
        <v>0.2</v>
      </c>
    </row>
    <row r="711" spans="1:9" x14ac:dyDescent="0.2">
      <c r="A711" s="467"/>
      <c r="B711" s="486" t="s">
        <v>838</v>
      </c>
      <c r="C711" s="487" t="s">
        <v>478</v>
      </c>
      <c r="D711" s="487">
        <v>0.5</v>
      </c>
      <c r="E711" s="532"/>
      <c r="F711" s="532"/>
      <c r="G711" s="549"/>
      <c r="I711" s="452">
        <v>0.5</v>
      </c>
    </row>
    <row r="712" spans="1:9" x14ac:dyDescent="0.2">
      <c r="A712" s="467"/>
      <c r="B712" s="486" t="s">
        <v>839</v>
      </c>
      <c r="C712" s="487" t="s">
        <v>478</v>
      </c>
      <c r="D712" s="487">
        <v>1</v>
      </c>
      <c r="E712" s="532"/>
      <c r="F712" s="532"/>
      <c r="G712" s="549"/>
      <c r="I712" s="452">
        <v>1</v>
      </c>
    </row>
    <row r="713" spans="1:9" x14ac:dyDescent="0.2">
      <c r="A713" s="467" t="s">
        <v>357</v>
      </c>
      <c r="B713" s="486" t="s">
        <v>139</v>
      </c>
      <c r="C713" s="487"/>
      <c r="D713" s="487">
        <v>0.25</v>
      </c>
      <c r="E713" s="532"/>
      <c r="F713" s="611"/>
      <c r="G713" s="586"/>
    </row>
    <row r="714" spans="1:9" x14ac:dyDescent="0.2">
      <c r="A714" s="467"/>
      <c r="B714" s="486" t="s">
        <v>836</v>
      </c>
      <c r="C714" s="487" t="s">
        <v>478</v>
      </c>
      <c r="D714" s="487">
        <v>0</v>
      </c>
      <c r="E714" s="532"/>
      <c r="F714" s="532"/>
      <c r="G714" s="549"/>
      <c r="I714" s="452">
        <v>0</v>
      </c>
    </row>
    <row r="715" spans="1:9" x14ac:dyDescent="0.2">
      <c r="A715" s="467"/>
      <c r="B715" s="486" t="s">
        <v>840</v>
      </c>
      <c r="C715" s="487" t="s">
        <v>478</v>
      </c>
      <c r="D715" s="487">
        <v>0.25</v>
      </c>
      <c r="E715" s="532"/>
      <c r="F715" s="532"/>
      <c r="G715" s="549"/>
      <c r="I715" s="452">
        <v>0.5</v>
      </c>
    </row>
    <row r="716" spans="1:9" x14ac:dyDescent="0.2">
      <c r="A716" s="467"/>
      <c r="B716" s="486" t="s">
        <v>841</v>
      </c>
      <c r="C716" s="487" t="s">
        <v>478</v>
      </c>
      <c r="D716" s="487">
        <v>0.5</v>
      </c>
      <c r="E716" s="532"/>
      <c r="F716" s="532"/>
      <c r="G716" s="549"/>
      <c r="I716" s="452">
        <v>0.8</v>
      </c>
    </row>
    <row r="717" spans="1:9" x14ac:dyDescent="0.2">
      <c r="A717" s="467"/>
      <c r="B717" s="486" t="s">
        <v>842</v>
      </c>
      <c r="C717" s="487" t="s">
        <v>478</v>
      </c>
      <c r="D717" s="487">
        <v>1</v>
      </c>
      <c r="E717" s="532"/>
      <c r="F717" s="532"/>
      <c r="G717" s="549"/>
      <c r="I717" s="452">
        <v>1</v>
      </c>
    </row>
    <row r="718" spans="1:9" x14ac:dyDescent="0.2">
      <c r="A718" s="485" t="s">
        <v>449</v>
      </c>
      <c r="B718" s="486"/>
      <c r="C718" s="487"/>
      <c r="D718" s="611"/>
      <c r="E718" s="532"/>
      <c r="F718" s="487"/>
      <c r="G718" s="549"/>
    </row>
    <row r="719" spans="1:9" x14ac:dyDescent="0.2">
      <c r="A719" s="467" t="s">
        <v>355</v>
      </c>
      <c r="B719" s="486" t="s">
        <v>139</v>
      </c>
      <c r="C719" s="487"/>
      <c r="D719" s="611"/>
      <c r="E719" s="532"/>
      <c r="F719" s="487">
        <v>0</v>
      </c>
      <c r="G719" s="586"/>
    </row>
    <row r="720" spans="1:9" x14ac:dyDescent="0.2">
      <c r="A720" s="467"/>
      <c r="B720" s="486" t="s">
        <v>843</v>
      </c>
      <c r="C720" s="487" t="s">
        <v>478</v>
      </c>
      <c r="D720" s="532"/>
      <c r="E720" s="532"/>
      <c r="F720" s="487">
        <v>-0.5</v>
      </c>
      <c r="G720" s="549"/>
    </row>
    <row r="721" spans="1:8" x14ac:dyDescent="0.2">
      <c r="A721" s="467"/>
      <c r="B721" s="486" t="s">
        <v>844</v>
      </c>
      <c r="C721" s="487" t="s">
        <v>478</v>
      </c>
      <c r="D721" s="532"/>
      <c r="E721" s="532"/>
      <c r="F721" s="487">
        <v>0</v>
      </c>
      <c r="G721" s="549"/>
    </row>
    <row r="722" spans="1:8" x14ac:dyDescent="0.2">
      <c r="A722" s="467"/>
      <c r="B722" s="486" t="s">
        <v>845</v>
      </c>
      <c r="C722" s="487" t="s">
        <v>478</v>
      </c>
      <c r="D722" s="532"/>
      <c r="E722" s="532"/>
      <c r="F722" s="487">
        <v>0.5</v>
      </c>
      <c r="G722" s="549"/>
    </row>
    <row r="723" spans="1:8" x14ac:dyDescent="0.2">
      <c r="A723" s="467" t="s">
        <v>356</v>
      </c>
      <c r="B723" s="486" t="s">
        <v>139</v>
      </c>
      <c r="C723" s="487"/>
      <c r="D723" s="611"/>
      <c r="E723" s="532"/>
      <c r="F723" s="487">
        <v>0</v>
      </c>
      <c r="G723" s="586"/>
    </row>
    <row r="724" spans="1:8" x14ac:dyDescent="0.2">
      <c r="A724" s="467"/>
      <c r="B724" s="486" t="s">
        <v>843</v>
      </c>
      <c r="C724" s="487" t="s">
        <v>478</v>
      </c>
      <c r="D724" s="532"/>
      <c r="E724" s="532"/>
      <c r="F724" s="487">
        <v>-0.5</v>
      </c>
      <c r="G724" s="549"/>
    </row>
    <row r="725" spans="1:8" x14ac:dyDescent="0.2">
      <c r="A725" s="467"/>
      <c r="B725" s="486" t="s">
        <v>844</v>
      </c>
      <c r="C725" s="487" t="s">
        <v>478</v>
      </c>
      <c r="D725" s="532"/>
      <c r="E725" s="532"/>
      <c r="F725" s="487">
        <v>0</v>
      </c>
      <c r="G725" s="549"/>
    </row>
    <row r="726" spans="1:8" x14ac:dyDescent="0.2">
      <c r="A726" s="467"/>
      <c r="B726" s="486" t="s">
        <v>845</v>
      </c>
      <c r="C726" s="487" t="s">
        <v>478</v>
      </c>
      <c r="D726" s="532"/>
      <c r="E726" s="532"/>
      <c r="F726" s="487">
        <v>0.5</v>
      </c>
      <c r="G726" s="549"/>
    </row>
    <row r="727" spans="1:8" x14ac:dyDescent="0.2">
      <c r="A727" s="467" t="s">
        <v>357</v>
      </c>
      <c r="B727" s="486" t="s">
        <v>139</v>
      </c>
      <c r="C727" s="487"/>
      <c r="D727" s="611"/>
      <c r="E727" s="532"/>
      <c r="F727" s="487">
        <v>0</v>
      </c>
      <c r="G727" s="586"/>
    </row>
    <row r="728" spans="1:8" x14ac:dyDescent="0.2">
      <c r="A728" s="467"/>
      <c r="B728" s="486" t="s">
        <v>843</v>
      </c>
      <c r="C728" s="487" t="s">
        <v>478</v>
      </c>
      <c r="D728" s="532"/>
      <c r="E728" s="532"/>
      <c r="F728" s="487">
        <v>-0.5</v>
      </c>
      <c r="G728" s="549"/>
    </row>
    <row r="729" spans="1:8" x14ac:dyDescent="0.2">
      <c r="A729" s="467"/>
      <c r="B729" s="486" t="s">
        <v>844</v>
      </c>
      <c r="C729" s="487" t="s">
        <v>478</v>
      </c>
      <c r="D729" s="532"/>
      <c r="E729" s="532"/>
      <c r="F729" s="487">
        <v>0</v>
      </c>
      <c r="G729" s="549"/>
    </row>
    <row r="730" spans="1:8" x14ac:dyDescent="0.2">
      <c r="A730" s="467"/>
      <c r="B730" s="486" t="s">
        <v>845</v>
      </c>
      <c r="C730" s="487" t="s">
        <v>478</v>
      </c>
      <c r="D730" s="532"/>
      <c r="E730" s="532"/>
      <c r="F730" s="487">
        <v>0.5</v>
      </c>
      <c r="G730" s="549"/>
    </row>
    <row r="731" spans="1:8" x14ac:dyDescent="0.2">
      <c r="A731" s="485" t="s">
        <v>431</v>
      </c>
      <c r="B731" s="468"/>
      <c r="C731" s="487"/>
      <c r="D731" s="487"/>
      <c r="E731" s="487"/>
      <c r="F731" s="487"/>
      <c r="G731" s="549"/>
    </row>
    <row r="732" spans="1:8" x14ac:dyDescent="0.2">
      <c r="A732" s="467" t="s">
        <v>354</v>
      </c>
      <c r="B732" s="486" t="s">
        <v>139</v>
      </c>
      <c r="C732" s="487"/>
      <c r="D732" s="487">
        <f>D734</f>
        <v>11.1</v>
      </c>
      <c r="E732" s="487"/>
      <c r="F732" s="541"/>
      <c r="G732" s="586"/>
    </row>
    <row r="733" spans="1:8" x14ac:dyDescent="0.2">
      <c r="A733" s="467"/>
      <c r="B733" s="486" t="s">
        <v>846</v>
      </c>
      <c r="C733" s="487" t="s">
        <v>847</v>
      </c>
      <c r="D733" s="487">
        <v>8</v>
      </c>
      <c r="E733" s="487"/>
      <c r="F733" s="487"/>
      <c r="G733" s="549"/>
      <c r="H733" s="452" t="s">
        <v>479</v>
      </c>
    </row>
    <row r="734" spans="1:8" x14ac:dyDescent="0.2">
      <c r="A734" s="467"/>
      <c r="B734" s="486" t="s">
        <v>734</v>
      </c>
      <c r="C734" s="487" t="s">
        <v>847</v>
      </c>
      <c r="D734" s="487">
        <v>11.1</v>
      </c>
      <c r="E734" s="487"/>
      <c r="F734" s="487"/>
      <c r="G734" s="549"/>
      <c r="H734" s="452" t="s">
        <v>848</v>
      </c>
    </row>
    <row r="735" spans="1:8" x14ac:dyDescent="0.2">
      <c r="A735" s="467"/>
      <c r="B735" s="486" t="s">
        <v>849</v>
      </c>
      <c r="C735" s="487" t="s">
        <v>847</v>
      </c>
      <c r="D735" s="487">
        <v>15</v>
      </c>
      <c r="E735" s="487"/>
      <c r="F735" s="487"/>
      <c r="G735" s="549"/>
      <c r="H735" s="452" t="s">
        <v>479</v>
      </c>
    </row>
    <row r="736" spans="1:8" x14ac:dyDescent="0.2">
      <c r="A736" s="467" t="s">
        <v>355</v>
      </c>
      <c r="B736" s="486" t="s">
        <v>484</v>
      </c>
      <c r="C736" s="487" t="s">
        <v>850</v>
      </c>
      <c r="D736" s="616">
        <v>0.2</v>
      </c>
      <c r="E736" s="487"/>
      <c r="F736" s="541"/>
      <c r="G736" s="586"/>
      <c r="H736" s="452" t="s">
        <v>479</v>
      </c>
    </row>
    <row r="737" spans="1:11" x14ac:dyDescent="0.2">
      <c r="A737" s="467" t="s">
        <v>356</v>
      </c>
      <c r="B737" s="486" t="s">
        <v>484</v>
      </c>
      <c r="C737" s="487" t="s">
        <v>850</v>
      </c>
      <c r="D737" s="616">
        <v>0.2</v>
      </c>
      <c r="E737" s="487"/>
      <c r="F737" s="541"/>
      <c r="G737" s="586"/>
      <c r="H737" s="452" t="s">
        <v>479</v>
      </c>
    </row>
    <row r="738" spans="1:11" x14ac:dyDescent="0.2">
      <c r="A738" s="467" t="s">
        <v>357</v>
      </c>
      <c r="B738" s="486" t="s">
        <v>484</v>
      </c>
      <c r="C738" s="487" t="s">
        <v>850</v>
      </c>
      <c r="D738" s="616">
        <v>0.2</v>
      </c>
      <c r="E738" s="487"/>
      <c r="F738" s="541"/>
      <c r="G738" s="586"/>
      <c r="H738" s="452" t="s">
        <v>479</v>
      </c>
    </row>
    <row r="739" spans="1:11" x14ac:dyDescent="0.2">
      <c r="A739" s="485" t="s">
        <v>432</v>
      </c>
      <c r="B739" s="468"/>
      <c r="C739" s="487"/>
      <c r="D739" s="487"/>
      <c r="E739" s="487"/>
      <c r="F739" s="487"/>
      <c r="G739" s="549"/>
    </row>
    <row r="740" spans="1:11" x14ac:dyDescent="0.2">
      <c r="A740" s="467" t="s">
        <v>354</v>
      </c>
      <c r="B740" s="486" t="s">
        <v>139</v>
      </c>
      <c r="C740" s="487"/>
      <c r="D740" s="487">
        <f>D742</f>
        <v>11.1</v>
      </c>
      <c r="E740" s="487"/>
      <c r="F740" s="541"/>
      <c r="G740" s="586"/>
    </row>
    <row r="741" spans="1:11" x14ac:dyDescent="0.2">
      <c r="A741" s="467"/>
      <c r="B741" s="486" t="s">
        <v>851</v>
      </c>
      <c r="C741" s="487" t="s">
        <v>847</v>
      </c>
      <c r="D741" s="487">
        <f t="shared" ref="D741:D746" si="46">D733</f>
        <v>8</v>
      </c>
      <c r="E741" s="487"/>
      <c r="F741" s="487"/>
      <c r="G741" s="549"/>
    </row>
    <row r="742" spans="1:11" x14ac:dyDescent="0.2">
      <c r="A742" s="467"/>
      <c r="B742" s="486" t="s">
        <v>734</v>
      </c>
      <c r="C742" s="487" t="s">
        <v>847</v>
      </c>
      <c r="D742" s="487">
        <f t="shared" si="46"/>
        <v>11.1</v>
      </c>
      <c r="E742" s="487"/>
      <c r="F742" s="487"/>
      <c r="G742" s="549"/>
    </row>
    <row r="743" spans="1:11" x14ac:dyDescent="0.2">
      <c r="A743" s="467"/>
      <c r="B743" s="486" t="s">
        <v>852</v>
      </c>
      <c r="C743" s="487" t="s">
        <v>847</v>
      </c>
      <c r="D743" s="487">
        <f t="shared" si="46"/>
        <v>15</v>
      </c>
      <c r="E743" s="487"/>
      <c r="F743" s="487"/>
      <c r="G743" s="549"/>
    </row>
    <row r="744" spans="1:11" x14ac:dyDescent="0.2">
      <c r="A744" s="467" t="s">
        <v>355</v>
      </c>
      <c r="B744" s="486" t="s">
        <v>484</v>
      </c>
      <c r="C744" s="487" t="s">
        <v>850</v>
      </c>
      <c r="D744" s="616">
        <f t="shared" si="46"/>
        <v>0.2</v>
      </c>
      <c r="E744" s="487"/>
      <c r="F744" s="541"/>
      <c r="G744" s="586"/>
      <c r="I744" s="616">
        <v>0.2</v>
      </c>
      <c r="J744" s="617"/>
      <c r="K744" s="617"/>
    </row>
    <row r="745" spans="1:11" x14ac:dyDescent="0.2">
      <c r="A745" s="467" t="s">
        <v>356</v>
      </c>
      <c r="B745" s="486" t="s">
        <v>484</v>
      </c>
      <c r="C745" s="487" t="s">
        <v>850</v>
      </c>
      <c r="D745" s="616">
        <f t="shared" si="46"/>
        <v>0.2</v>
      </c>
      <c r="E745" s="487"/>
      <c r="F745" s="541"/>
      <c r="G745" s="586"/>
      <c r="I745" s="616">
        <v>0.2</v>
      </c>
      <c r="J745" s="617"/>
      <c r="K745" s="617"/>
    </row>
    <row r="746" spans="1:11" x14ac:dyDescent="0.2">
      <c r="A746" s="467" t="s">
        <v>357</v>
      </c>
      <c r="B746" s="486" t="s">
        <v>484</v>
      </c>
      <c r="C746" s="487" t="s">
        <v>850</v>
      </c>
      <c r="D746" s="616">
        <f t="shared" si="46"/>
        <v>0.2</v>
      </c>
      <c r="E746" s="487"/>
      <c r="F746" s="541"/>
      <c r="G746" s="586"/>
      <c r="I746" s="616">
        <v>0.2</v>
      </c>
      <c r="J746" s="617"/>
      <c r="K746" s="617"/>
    </row>
    <row r="747" spans="1:11" x14ac:dyDescent="0.2">
      <c r="A747" s="485" t="s">
        <v>433</v>
      </c>
      <c r="B747" s="468"/>
      <c r="C747" s="487"/>
      <c r="D747" s="487"/>
      <c r="E747" s="487"/>
      <c r="F747" s="487"/>
      <c r="G747" s="549"/>
    </row>
    <row r="748" spans="1:11" x14ac:dyDescent="0.2">
      <c r="A748" s="467" t="s">
        <v>853</v>
      </c>
      <c r="B748" s="486" t="s">
        <v>139</v>
      </c>
      <c r="C748" s="487"/>
      <c r="D748" s="487">
        <f>D750</f>
        <v>4.2</v>
      </c>
      <c r="E748" s="487"/>
      <c r="F748" s="541"/>
      <c r="G748" s="586"/>
    </row>
    <row r="749" spans="1:11" x14ac:dyDescent="0.2">
      <c r="A749" s="467"/>
      <c r="B749" s="486" t="s">
        <v>854</v>
      </c>
      <c r="C749" s="487" t="s">
        <v>847</v>
      </c>
      <c r="D749" s="487">
        <v>3</v>
      </c>
      <c r="E749" s="487"/>
      <c r="F749" s="487"/>
      <c r="G749" s="549"/>
      <c r="H749" s="452" t="s">
        <v>479</v>
      </c>
    </row>
    <row r="750" spans="1:11" x14ac:dyDescent="0.2">
      <c r="A750" s="467"/>
      <c r="B750" s="486" t="s">
        <v>734</v>
      </c>
      <c r="C750" s="487" t="s">
        <v>847</v>
      </c>
      <c r="D750" s="487">
        <v>4.2</v>
      </c>
      <c r="E750" s="487"/>
      <c r="F750" s="487"/>
      <c r="G750" s="549"/>
      <c r="H750" s="452" t="s">
        <v>855</v>
      </c>
    </row>
    <row r="751" spans="1:11" x14ac:dyDescent="0.2">
      <c r="A751" s="467"/>
      <c r="B751" s="486" t="s">
        <v>856</v>
      </c>
      <c r="C751" s="487" t="s">
        <v>847</v>
      </c>
      <c r="D751" s="487">
        <v>6</v>
      </c>
      <c r="E751" s="487"/>
      <c r="F751" s="487"/>
      <c r="G751" s="549"/>
      <c r="H751" s="452" t="s">
        <v>479</v>
      </c>
    </row>
    <row r="752" spans="1:11" x14ac:dyDescent="0.2">
      <c r="A752" s="467" t="s">
        <v>857</v>
      </c>
      <c r="B752" s="486" t="s">
        <v>139</v>
      </c>
      <c r="C752" s="487"/>
      <c r="D752" s="487">
        <f>D754</f>
        <v>8.8000000000000007</v>
      </c>
      <c r="E752" s="487"/>
      <c r="F752" s="487"/>
      <c r="G752" s="549"/>
    </row>
    <row r="753" spans="1:30" x14ac:dyDescent="0.2">
      <c r="A753" s="467"/>
      <c r="B753" s="508" t="str">
        <f>B749</f>
        <v>école de proximité (ou étudiants sur place)</v>
      </c>
      <c r="C753" s="487" t="s">
        <v>847</v>
      </c>
      <c r="D753" s="487">
        <v>7</v>
      </c>
      <c r="E753" s="487"/>
      <c r="F753" s="487"/>
      <c r="G753" s="549"/>
      <c r="H753" s="452" t="s">
        <v>479</v>
      </c>
    </row>
    <row r="754" spans="1:30" x14ac:dyDescent="0.2">
      <c r="A754" s="467"/>
      <c r="B754" s="508" t="str">
        <f>B750</f>
        <v>moyenne</v>
      </c>
      <c r="C754" s="487" t="s">
        <v>847</v>
      </c>
      <c r="D754" s="487">
        <v>8.8000000000000007</v>
      </c>
      <c r="E754" s="487"/>
      <c r="F754" s="487"/>
      <c r="G754" s="549"/>
      <c r="H754" s="452" t="s">
        <v>858</v>
      </c>
    </row>
    <row r="755" spans="1:30" x14ac:dyDescent="0.2">
      <c r="A755" s="467"/>
      <c r="B755" s="508" t="str">
        <f>B751</f>
        <v>établissement éloigné (ou peu d’étudiants proches)</v>
      </c>
      <c r="C755" s="487" t="s">
        <v>847</v>
      </c>
      <c r="D755" s="487">
        <v>12</v>
      </c>
      <c r="E755" s="487"/>
      <c r="F755" s="487"/>
      <c r="G755" s="549"/>
      <c r="H755" s="452" t="s">
        <v>479</v>
      </c>
    </row>
    <row r="756" spans="1:30" x14ac:dyDescent="0.2">
      <c r="A756" s="467" t="s">
        <v>355</v>
      </c>
      <c r="B756" s="486" t="s">
        <v>484</v>
      </c>
      <c r="C756" s="487" t="s">
        <v>850</v>
      </c>
      <c r="D756" s="616">
        <v>0.4</v>
      </c>
      <c r="E756" s="487"/>
      <c r="F756" s="541"/>
      <c r="G756" s="586"/>
      <c r="H756" s="452" t="s">
        <v>479</v>
      </c>
      <c r="I756" s="616">
        <v>0.4</v>
      </c>
      <c r="J756" s="617"/>
      <c r="K756" s="617"/>
    </row>
    <row r="757" spans="1:30" x14ac:dyDescent="0.2">
      <c r="A757" s="467" t="s">
        <v>356</v>
      </c>
      <c r="B757" s="486" t="s">
        <v>484</v>
      </c>
      <c r="C757" s="487" t="s">
        <v>850</v>
      </c>
      <c r="D757" s="616">
        <v>0.1</v>
      </c>
      <c r="E757" s="487"/>
      <c r="F757" s="541"/>
      <c r="G757" s="586"/>
      <c r="H757" s="452" t="s">
        <v>479</v>
      </c>
      <c r="I757" s="616">
        <v>0.1</v>
      </c>
      <c r="J757" s="617"/>
      <c r="K757" s="617"/>
    </row>
    <row r="758" spans="1:30" x14ac:dyDescent="0.2">
      <c r="A758" s="467" t="s">
        <v>357</v>
      </c>
      <c r="B758" s="486" t="s">
        <v>484</v>
      </c>
      <c r="C758" s="487" t="s">
        <v>850</v>
      </c>
      <c r="D758" s="616">
        <v>0.25</v>
      </c>
      <c r="E758" s="487"/>
      <c r="F758" s="541"/>
      <c r="G758" s="586"/>
      <c r="H758" s="452" t="s">
        <v>479</v>
      </c>
      <c r="I758" s="616">
        <v>0.3</v>
      </c>
      <c r="J758" s="617"/>
      <c r="K758" s="617"/>
    </row>
    <row r="759" spans="1:30" x14ac:dyDescent="0.2">
      <c r="A759" s="485" t="s">
        <v>434</v>
      </c>
      <c r="B759" s="468"/>
      <c r="C759" s="487"/>
      <c r="D759" s="487"/>
      <c r="E759" s="487"/>
      <c r="F759" s="487"/>
      <c r="G759" s="549"/>
    </row>
    <row r="760" spans="1:30" x14ac:dyDescent="0.2">
      <c r="A760" s="467" t="s">
        <v>354</v>
      </c>
      <c r="B760" s="486" t="s">
        <v>139</v>
      </c>
      <c r="C760" s="487"/>
      <c r="D760" s="487">
        <f>D762</f>
        <v>10</v>
      </c>
      <c r="E760" s="487"/>
      <c r="F760" s="541"/>
      <c r="G760" s="586"/>
    </row>
    <row r="761" spans="1:30" x14ac:dyDescent="0.2">
      <c r="A761" s="467"/>
      <c r="B761" s="486" t="s">
        <v>859</v>
      </c>
      <c r="C761" s="487" t="s">
        <v>847</v>
      </c>
      <c r="D761" s="487">
        <v>5</v>
      </c>
      <c r="E761" s="487"/>
      <c r="F761" s="487"/>
      <c r="G761" s="549"/>
      <c r="H761" s="452" t="s">
        <v>479</v>
      </c>
    </row>
    <row r="762" spans="1:30" x14ac:dyDescent="0.2">
      <c r="A762" s="467"/>
      <c r="B762" s="486" t="s">
        <v>734</v>
      </c>
      <c r="C762" s="487" t="s">
        <v>847</v>
      </c>
      <c r="D762" s="487">
        <v>10</v>
      </c>
      <c r="E762" s="487"/>
      <c r="F762" s="487"/>
      <c r="G762" s="549"/>
      <c r="H762" s="452" t="s">
        <v>479</v>
      </c>
    </row>
    <row r="763" spans="1:30" x14ac:dyDescent="0.2">
      <c r="A763" s="467"/>
      <c r="B763" s="486" t="s">
        <v>860</v>
      </c>
      <c r="C763" s="487" t="s">
        <v>847</v>
      </c>
      <c r="D763" s="487">
        <v>20</v>
      </c>
      <c r="E763" s="487"/>
      <c r="F763" s="487"/>
      <c r="G763" s="549"/>
      <c r="H763" s="452" t="s">
        <v>479</v>
      </c>
    </row>
    <row r="764" spans="1:30" x14ac:dyDescent="0.2">
      <c r="A764" s="467" t="s">
        <v>355</v>
      </c>
      <c r="B764" s="486" t="s">
        <v>484</v>
      </c>
      <c r="C764" s="487" t="s">
        <v>850</v>
      </c>
      <c r="D764" s="616">
        <v>0.2</v>
      </c>
      <c r="E764" s="487"/>
      <c r="F764" s="541"/>
      <c r="G764" s="586"/>
      <c r="H764" s="452" t="s">
        <v>479</v>
      </c>
      <c r="I764" s="616">
        <v>0.2</v>
      </c>
      <c r="J764" s="617"/>
      <c r="K764" s="617"/>
    </row>
    <row r="765" spans="1:30" x14ac:dyDescent="0.2">
      <c r="A765" s="467" t="s">
        <v>356</v>
      </c>
      <c r="B765" s="486" t="s">
        <v>484</v>
      </c>
      <c r="C765" s="487" t="s">
        <v>850</v>
      </c>
      <c r="D765" s="616">
        <v>0.1</v>
      </c>
      <c r="E765" s="487"/>
      <c r="F765" s="541"/>
      <c r="G765" s="586"/>
      <c r="H765" s="452" t="s">
        <v>479</v>
      </c>
      <c r="I765" s="616">
        <v>0.1</v>
      </c>
      <c r="J765" s="617"/>
      <c r="K765" s="617"/>
    </row>
    <row r="766" spans="1:30" x14ac:dyDescent="0.2">
      <c r="A766" s="467" t="s">
        <v>357</v>
      </c>
      <c r="B766" s="486" t="s">
        <v>484</v>
      </c>
      <c r="C766" s="487" t="s">
        <v>850</v>
      </c>
      <c r="D766" s="616">
        <v>0.2</v>
      </c>
      <c r="E766" s="487"/>
      <c r="F766" s="541"/>
      <c r="G766" s="586"/>
      <c r="H766" s="452" t="s">
        <v>479</v>
      </c>
      <c r="I766" s="616">
        <v>0.2</v>
      </c>
      <c r="J766" s="617"/>
      <c r="K766" s="617"/>
    </row>
    <row r="767" spans="1:30" s="468" customFormat="1" x14ac:dyDescent="0.2">
      <c r="A767" s="467"/>
      <c r="C767" s="487"/>
      <c r="D767" s="487"/>
      <c r="E767" s="487"/>
      <c r="F767" s="487"/>
      <c r="G767" s="549"/>
      <c r="H767" s="452"/>
      <c r="I767" s="452"/>
      <c r="J767" s="453"/>
      <c r="K767" s="453"/>
      <c r="L767" s="454"/>
      <c r="M767" s="455"/>
      <c r="N767" s="455"/>
      <c r="O767" s="455"/>
      <c r="P767" s="455"/>
      <c r="Q767" s="455"/>
      <c r="R767" s="454"/>
      <c r="S767" s="454"/>
      <c r="T767" s="456"/>
      <c r="U767" s="456"/>
      <c r="V767" s="456"/>
      <c r="W767"/>
      <c r="X767"/>
      <c r="Y767"/>
      <c r="Z767"/>
      <c r="AA767"/>
      <c r="AB767"/>
      <c r="AC767"/>
      <c r="AD767"/>
    </row>
    <row r="768" spans="1:30" ht="27.75" customHeight="1" x14ac:dyDescent="0.2">
      <c r="A768" s="618" t="s">
        <v>364</v>
      </c>
      <c r="B768" s="619"/>
      <c r="C768" s="620"/>
      <c r="D768" s="620"/>
      <c r="E768" s="620"/>
      <c r="F768" s="620"/>
      <c r="G768" s="620"/>
      <c r="H768" s="620"/>
      <c r="I768" s="620"/>
      <c r="J768" s="621"/>
      <c r="K768" s="621"/>
    </row>
    <row r="769" spans="1:30" ht="25.5" x14ac:dyDescent="0.2">
      <c r="A769" s="485" t="s">
        <v>861</v>
      </c>
      <c r="B769" s="468"/>
      <c r="C769" s="456"/>
      <c r="D769" s="456"/>
      <c r="E769" s="456"/>
      <c r="F769" s="456"/>
      <c r="G769" s="622"/>
      <c r="H769" s="452" t="s">
        <v>862</v>
      </c>
    </row>
    <row r="770" spans="1:30" x14ac:dyDescent="0.2">
      <c r="A770" s="467" t="s">
        <v>863</v>
      </c>
      <c r="B770" s="623" t="s">
        <v>139</v>
      </c>
      <c r="C770" s="624"/>
      <c r="D770" s="607">
        <v>0.9</v>
      </c>
      <c r="E770" s="487"/>
      <c r="F770" s="492"/>
      <c r="G770" s="545"/>
      <c r="W770" s="468"/>
      <c r="X770" s="468"/>
      <c r="Y770" s="468"/>
      <c r="Z770" s="468"/>
      <c r="AA770" s="468"/>
      <c r="AB770" s="468"/>
      <c r="AC770" s="468"/>
      <c r="AD770" s="468"/>
    </row>
    <row r="771" spans="1:30" x14ac:dyDescent="0.2">
      <c r="A771" s="467"/>
      <c r="B771" s="486" t="s">
        <v>864</v>
      </c>
      <c r="C771" s="487" t="s">
        <v>478</v>
      </c>
      <c r="D771" s="607">
        <v>0.5</v>
      </c>
      <c r="E771" s="487"/>
      <c r="F771" s="492"/>
      <c r="G771" s="545"/>
      <c r="H771" s="452" t="s">
        <v>479</v>
      </c>
    </row>
    <row r="772" spans="1:30" x14ac:dyDescent="0.2">
      <c r="A772" s="467"/>
      <c r="B772" s="486" t="s">
        <v>865</v>
      </c>
      <c r="C772" s="487" t="s">
        <v>478</v>
      </c>
      <c r="D772" s="607">
        <v>0.75</v>
      </c>
      <c r="E772" s="487"/>
      <c r="F772" s="492"/>
      <c r="G772" s="545"/>
      <c r="H772" s="452" t="s">
        <v>479</v>
      </c>
      <c r="W772" s="468"/>
      <c r="X772" s="468"/>
      <c r="Y772" s="468"/>
      <c r="Z772" s="468"/>
      <c r="AA772" s="468"/>
      <c r="AB772" s="468"/>
      <c r="AC772" s="468"/>
      <c r="AD772" s="468"/>
    </row>
    <row r="773" spans="1:30" x14ac:dyDescent="0.2">
      <c r="A773" s="467"/>
      <c r="B773" s="486" t="s">
        <v>866</v>
      </c>
      <c r="C773" s="487" t="s">
        <v>478</v>
      </c>
      <c r="D773" s="487">
        <v>1</v>
      </c>
      <c r="E773" s="487"/>
      <c r="F773" s="492"/>
      <c r="G773" s="545"/>
    </row>
    <row r="774" spans="1:30" s="468" customFormat="1" x14ac:dyDescent="0.2">
      <c r="A774" s="467" t="s">
        <v>7</v>
      </c>
      <c r="B774" s="623" t="s">
        <v>139</v>
      </c>
      <c r="C774" s="624"/>
      <c r="D774" s="607">
        <f>D776</f>
        <v>2</v>
      </c>
      <c r="E774" s="532"/>
      <c r="F774" s="488"/>
      <c r="G774" s="545"/>
      <c r="H774" s="452"/>
      <c r="I774" s="452"/>
      <c r="J774" s="453"/>
      <c r="K774" s="453"/>
      <c r="L774" s="454"/>
      <c r="M774" s="455"/>
      <c r="N774" s="455"/>
      <c r="O774" s="455"/>
      <c r="P774" s="455"/>
      <c r="Q774" s="455"/>
      <c r="R774" s="454"/>
      <c r="S774" s="454"/>
      <c r="T774" s="456"/>
      <c r="U774" s="456"/>
      <c r="V774" s="456"/>
      <c r="W774"/>
      <c r="X774"/>
      <c r="Y774"/>
      <c r="Z774"/>
      <c r="AA774"/>
      <c r="AB774"/>
      <c r="AC774"/>
      <c r="AD774"/>
    </row>
    <row r="775" spans="1:30" x14ac:dyDescent="0.2">
      <c r="A775" s="467"/>
      <c r="B775" s="486" t="s">
        <v>867</v>
      </c>
      <c r="C775" s="487" t="s">
        <v>868</v>
      </c>
      <c r="D775" s="607">
        <v>3</v>
      </c>
      <c r="E775" s="532"/>
      <c r="F775" s="625"/>
      <c r="G775" s="585"/>
      <c r="H775" s="452" t="s">
        <v>869</v>
      </c>
    </row>
    <row r="776" spans="1:30" ht="25.5" x14ac:dyDescent="0.2">
      <c r="A776" s="467"/>
      <c r="B776" s="486" t="s">
        <v>870</v>
      </c>
      <c r="C776" s="456" t="s">
        <v>868</v>
      </c>
      <c r="D776" s="626">
        <v>2</v>
      </c>
      <c r="E776" s="543"/>
      <c r="F776" s="544"/>
      <c r="G776" s="627"/>
      <c r="H776" s="452" t="s">
        <v>871</v>
      </c>
      <c r="I776" s="452">
        <v>2.27</v>
      </c>
    </row>
    <row r="777" spans="1:30" x14ac:dyDescent="0.2">
      <c r="A777" s="467"/>
      <c r="B777" s="486" t="s">
        <v>872</v>
      </c>
      <c r="C777" s="487" t="s">
        <v>868</v>
      </c>
      <c r="D777" s="607">
        <v>1</v>
      </c>
      <c r="E777" s="532"/>
      <c r="F777" s="628"/>
      <c r="G777" s="629"/>
      <c r="H777" s="452" t="s">
        <v>873</v>
      </c>
      <c r="I777" s="452">
        <v>1.03</v>
      </c>
      <c r="W777" s="468"/>
      <c r="X777" s="468"/>
      <c r="Y777" s="468"/>
      <c r="Z777" s="468"/>
      <c r="AA777" s="468"/>
      <c r="AB777" s="468"/>
      <c r="AC777" s="468"/>
      <c r="AD777" s="468"/>
    </row>
    <row r="778" spans="1:30" x14ac:dyDescent="0.2">
      <c r="A778" s="467" t="s">
        <v>449</v>
      </c>
      <c r="B778" s="623" t="s">
        <v>139</v>
      </c>
      <c r="C778" s="624"/>
      <c r="D778" s="630"/>
      <c r="E778" s="532"/>
      <c r="F778" s="487">
        <v>0</v>
      </c>
      <c r="G778" s="629"/>
    </row>
    <row r="779" spans="1:30" x14ac:dyDescent="0.2">
      <c r="A779" s="467"/>
      <c r="B779" s="486" t="s">
        <v>874</v>
      </c>
      <c r="C779" s="487" t="s">
        <v>868</v>
      </c>
      <c r="D779" s="631"/>
      <c r="E779" s="532"/>
      <c r="F779" s="632">
        <f>D775-D776</f>
        <v>1</v>
      </c>
      <c r="G779" s="629"/>
      <c r="W779" s="468"/>
      <c r="X779" s="468"/>
      <c r="Y779" s="468"/>
      <c r="Z779" s="468"/>
      <c r="AA779" s="468"/>
      <c r="AB779" s="468"/>
      <c r="AC779" s="468"/>
      <c r="AD779" s="468"/>
    </row>
    <row r="780" spans="1:30" x14ac:dyDescent="0.2">
      <c r="A780" s="467"/>
      <c r="B780" s="486" t="s">
        <v>875</v>
      </c>
      <c r="C780" s="487" t="s">
        <v>868</v>
      </c>
      <c r="D780" s="631"/>
      <c r="E780" s="532"/>
      <c r="F780" s="487">
        <v>0</v>
      </c>
      <c r="G780" s="629"/>
    </row>
    <row r="781" spans="1:30" x14ac:dyDescent="0.2">
      <c r="A781" s="467"/>
      <c r="B781" s="486" t="s">
        <v>876</v>
      </c>
      <c r="C781" s="487" t="s">
        <v>868</v>
      </c>
      <c r="D781" s="631"/>
      <c r="E781" s="532"/>
      <c r="F781" s="632">
        <f>D777-D776</f>
        <v>-1</v>
      </c>
      <c r="G781" s="629"/>
    </row>
    <row r="782" spans="1:30" x14ac:dyDescent="0.2">
      <c r="A782" s="485" t="s">
        <v>436</v>
      </c>
      <c r="B782" s="468"/>
      <c r="C782" s="487"/>
      <c r="D782" s="487"/>
      <c r="E782" s="487"/>
      <c r="F782" s="487"/>
      <c r="G782" s="549"/>
    </row>
    <row r="783" spans="1:30" x14ac:dyDescent="0.2">
      <c r="A783" s="467"/>
      <c r="B783" s="486" t="s">
        <v>877</v>
      </c>
      <c r="C783" s="487" t="s">
        <v>459</v>
      </c>
      <c r="D783" s="492">
        <v>400</v>
      </c>
      <c r="E783" s="487"/>
      <c r="F783" s="492"/>
      <c r="G783" s="545"/>
      <c r="H783" s="452" t="s">
        <v>878</v>
      </c>
      <c r="I783" s="452">
        <v>600</v>
      </c>
    </row>
    <row r="784" spans="1:30" x14ac:dyDescent="0.2">
      <c r="A784" s="467"/>
      <c r="B784" s="486" t="s">
        <v>879</v>
      </c>
      <c r="C784" s="487" t="s">
        <v>459</v>
      </c>
      <c r="D784" s="492">
        <v>100</v>
      </c>
      <c r="E784" s="487"/>
      <c r="F784" s="492"/>
      <c r="G784" s="545"/>
      <c r="H784" s="452" t="s">
        <v>479</v>
      </c>
      <c r="I784" s="452">
        <v>200</v>
      </c>
    </row>
    <row r="785" spans="1:30" x14ac:dyDescent="0.2">
      <c r="A785" s="485" t="s">
        <v>880</v>
      </c>
      <c r="B785" s="468"/>
      <c r="C785" s="487"/>
      <c r="D785" s="487"/>
      <c r="E785" s="487"/>
      <c r="F785" s="487"/>
      <c r="G785" s="549"/>
    </row>
    <row r="786" spans="1:30" x14ac:dyDescent="0.2">
      <c r="A786" s="467"/>
      <c r="B786" s="486" t="s">
        <v>881</v>
      </c>
      <c r="C786" s="487" t="s">
        <v>568</v>
      </c>
      <c r="D786" s="632">
        <v>0.2</v>
      </c>
      <c r="E786" s="487"/>
      <c r="F786" s="509"/>
      <c r="G786" s="603"/>
      <c r="H786" s="452" t="s">
        <v>882</v>
      </c>
      <c r="I786" s="633">
        <v>0.2</v>
      </c>
      <c r="J786" s="634"/>
      <c r="K786" s="634"/>
    </row>
    <row r="787" spans="1:30" x14ac:dyDescent="0.2">
      <c r="A787" s="467"/>
      <c r="B787" s="486" t="s">
        <v>386</v>
      </c>
      <c r="C787" s="487" t="s">
        <v>568</v>
      </c>
      <c r="D787" s="632">
        <v>0.05</v>
      </c>
      <c r="E787" s="487"/>
      <c r="F787" s="509"/>
      <c r="G787" s="603"/>
      <c r="H787" s="452" t="s">
        <v>479</v>
      </c>
      <c r="I787" s="633">
        <v>0.05</v>
      </c>
      <c r="J787" s="634"/>
      <c r="K787" s="634"/>
    </row>
    <row r="788" spans="1:30" s="468" customFormat="1" x14ac:dyDescent="0.2">
      <c r="A788" s="485" t="s">
        <v>438</v>
      </c>
      <c r="C788" s="487"/>
      <c r="D788" s="487"/>
      <c r="E788" s="487"/>
      <c r="F788" s="487"/>
      <c r="G788" s="549"/>
      <c r="H788" s="452"/>
      <c r="I788" s="452"/>
      <c r="J788" s="453"/>
      <c r="K788" s="453"/>
      <c r="L788" s="454"/>
      <c r="M788" s="455"/>
      <c r="N788" s="455"/>
      <c r="O788" s="455"/>
      <c r="P788" s="455"/>
      <c r="Q788" s="455"/>
      <c r="R788" s="454"/>
      <c r="S788" s="454"/>
      <c r="T788" s="456"/>
      <c r="U788" s="456"/>
      <c r="V788" s="456"/>
      <c r="W788"/>
      <c r="X788"/>
      <c r="Y788"/>
      <c r="Z788"/>
      <c r="AA788"/>
      <c r="AB788"/>
      <c r="AC788"/>
      <c r="AD788"/>
    </row>
    <row r="789" spans="1:30" x14ac:dyDescent="0.2">
      <c r="A789" s="467"/>
      <c r="B789" s="486" t="s">
        <v>883</v>
      </c>
      <c r="C789" s="487" t="s">
        <v>884</v>
      </c>
      <c r="D789" s="492">
        <v>500</v>
      </c>
      <c r="E789" s="487"/>
      <c r="F789" s="492"/>
      <c r="G789" s="545"/>
      <c r="H789" s="452" t="s">
        <v>885</v>
      </c>
    </row>
    <row r="790" spans="1:30" x14ac:dyDescent="0.2">
      <c r="A790" s="467" t="s">
        <v>392</v>
      </c>
      <c r="B790" s="623" t="s">
        <v>139</v>
      </c>
      <c r="C790" s="624"/>
      <c r="D790" s="607">
        <v>0.9</v>
      </c>
      <c r="E790" s="487"/>
      <c r="F790" s="492"/>
      <c r="G790" s="492"/>
      <c r="J790" s="452"/>
      <c r="K790" s="452"/>
      <c r="L790" s="490"/>
      <c r="M790" s="477"/>
      <c r="N790" s="477"/>
      <c r="O790" s="477"/>
      <c r="P790" s="477"/>
      <c r="Q790" s="477"/>
      <c r="R790" s="490"/>
      <c r="S790" s="490"/>
    </row>
    <row r="791" spans="1:30" x14ac:dyDescent="0.2">
      <c r="A791" s="467"/>
      <c r="B791" s="486" t="s">
        <v>541</v>
      </c>
      <c r="C791" s="487"/>
      <c r="D791" s="492">
        <v>0</v>
      </c>
      <c r="E791" s="487"/>
      <c r="F791" s="487"/>
      <c r="G791" s="487"/>
      <c r="I791" s="492"/>
      <c r="J791" s="489"/>
      <c r="K791" s="489"/>
      <c r="L791" s="490"/>
      <c r="M791" s="477"/>
      <c r="N791" s="477"/>
      <c r="O791" s="477"/>
      <c r="P791" s="477"/>
      <c r="Q791" s="477"/>
      <c r="R791" s="490"/>
      <c r="S791" s="490"/>
      <c r="U791" s="542"/>
      <c r="V791" s="531"/>
      <c r="W791" s="468"/>
      <c r="X791" s="468"/>
      <c r="Y791" s="468"/>
      <c r="Z791" s="468"/>
      <c r="AA791" s="468"/>
      <c r="AB791" s="468"/>
      <c r="AC791" s="468"/>
      <c r="AD791" s="468"/>
    </row>
    <row r="792" spans="1:30" x14ac:dyDescent="0.2">
      <c r="A792" s="467"/>
      <c r="B792" s="486" t="s">
        <v>886</v>
      </c>
      <c r="C792" s="487" t="s">
        <v>478</v>
      </c>
      <c r="D792" s="607">
        <v>1</v>
      </c>
      <c r="E792" s="487"/>
      <c r="F792" s="492"/>
      <c r="G792" s="492"/>
      <c r="J792" s="452"/>
      <c r="K792" s="452"/>
      <c r="L792" s="490"/>
      <c r="M792" s="477"/>
      <c r="N792" s="477"/>
      <c r="O792" s="477"/>
      <c r="P792" s="477"/>
      <c r="Q792" s="477"/>
      <c r="R792" s="490"/>
      <c r="S792" s="490"/>
    </row>
    <row r="793" spans="1:30" x14ac:dyDescent="0.2">
      <c r="A793" s="467"/>
      <c r="B793" s="486" t="s">
        <v>734</v>
      </c>
      <c r="C793" s="487" t="s">
        <v>478</v>
      </c>
      <c r="D793" s="607">
        <v>0.75</v>
      </c>
      <c r="E793" s="487"/>
      <c r="F793" s="492"/>
      <c r="G793" s="492"/>
      <c r="H793" s="452" t="s">
        <v>479</v>
      </c>
      <c r="J793" s="452"/>
      <c r="K793" s="452"/>
      <c r="L793" s="490"/>
      <c r="M793" s="477"/>
      <c r="N793" s="477"/>
      <c r="O793" s="477"/>
      <c r="P793" s="477"/>
      <c r="Q793" s="477"/>
      <c r="R793" s="490"/>
      <c r="S793" s="490"/>
      <c r="W793" s="468"/>
      <c r="X793" s="468"/>
      <c r="Y793" s="468"/>
      <c r="Z793" s="468"/>
      <c r="AA793" s="468"/>
      <c r="AB793" s="468"/>
      <c r="AC793" s="468"/>
      <c r="AD793" s="468"/>
    </row>
    <row r="794" spans="1:30" x14ac:dyDescent="0.2">
      <c r="A794" s="467"/>
      <c r="B794" s="486" t="s">
        <v>887</v>
      </c>
      <c r="C794" s="487" t="s">
        <v>478</v>
      </c>
      <c r="D794" s="487">
        <v>0.5</v>
      </c>
      <c r="E794" s="487"/>
      <c r="F794" s="492"/>
      <c r="G794" s="492"/>
      <c r="H794" s="452" t="s">
        <v>479</v>
      </c>
      <c r="J794" s="452"/>
      <c r="K794" s="452"/>
      <c r="L794" s="490"/>
      <c r="M794" s="477"/>
      <c r="N794" s="477"/>
      <c r="O794" s="477"/>
      <c r="P794" s="477"/>
      <c r="Q794" s="477"/>
      <c r="R794" s="490"/>
      <c r="S794" s="490"/>
    </row>
    <row r="795" spans="1:30" x14ac:dyDescent="0.2">
      <c r="C795" s="487"/>
      <c r="D795" s="487"/>
      <c r="E795" s="487"/>
      <c r="F795" s="487"/>
      <c r="G795" s="487"/>
      <c r="J795" s="452"/>
      <c r="K795" s="452"/>
      <c r="L795" s="490"/>
      <c r="M795" s="477"/>
      <c r="N795" s="477"/>
      <c r="O795" s="477"/>
      <c r="P795" s="477"/>
      <c r="Q795" s="477"/>
      <c r="R795" s="490"/>
      <c r="S795" s="490"/>
    </row>
    <row r="796" spans="1:30" x14ac:dyDescent="0.2">
      <c r="C796" s="487"/>
      <c r="D796" s="487"/>
      <c r="E796" s="487"/>
      <c r="F796" s="487"/>
      <c r="G796" s="549"/>
    </row>
    <row r="797" spans="1:30" x14ac:dyDescent="0.2">
      <c r="C797" s="487"/>
      <c r="D797" s="487"/>
      <c r="E797" s="487"/>
      <c r="F797" s="487"/>
      <c r="G797" s="549"/>
    </row>
    <row r="798" spans="1:30" x14ac:dyDescent="0.2">
      <c r="C798" s="487"/>
      <c r="D798" s="487"/>
      <c r="E798" s="487"/>
      <c r="F798" s="487"/>
      <c r="G798" s="549"/>
    </row>
    <row r="799" spans="1:30" x14ac:dyDescent="0.2">
      <c r="C799" s="487"/>
      <c r="D799" s="487"/>
      <c r="E799" s="487"/>
      <c r="F799" s="487"/>
      <c r="G799" s="549"/>
    </row>
  </sheetData>
  <sheetProtection sheet="1" objects="1" scenarios="1" selectLockedCells="1" selectUnlockedCells="1"/>
  <mergeCells count="18">
    <mergeCell ref="H310:H318"/>
    <mergeCell ref="H329:H332"/>
    <mergeCell ref="H336:H337"/>
    <mergeCell ref="D59:F59"/>
    <mergeCell ref="H142:H146"/>
    <mergeCell ref="H167:H177"/>
    <mergeCell ref="H186:H192"/>
    <mergeCell ref="H250:H253"/>
    <mergeCell ref="I25:K25"/>
    <mergeCell ref="L25:N25"/>
    <mergeCell ref="I56:K56"/>
    <mergeCell ref="D57:F57"/>
    <mergeCell ref="D58:F58"/>
    <mergeCell ref="T1:V1"/>
    <mergeCell ref="D4:F4"/>
    <mergeCell ref="D22:F22"/>
    <mergeCell ref="D23:F23"/>
    <mergeCell ref="D24:F24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1"/>
  <sheetViews>
    <sheetView zoomScale="95" zoomScaleNormal="95" workbookViewId="0"/>
  </sheetViews>
  <sheetFormatPr baseColWidth="10" defaultColWidth="11.5703125" defaultRowHeight="12.75" customHeight="1" x14ac:dyDescent="0.2"/>
  <cols>
    <col min="1" max="1" width="25.5703125" customWidth="1"/>
    <col min="2" max="2" width="30.7109375" customWidth="1"/>
    <col min="3" max="3" width="23" customWidth="1"/>
    <col min="4" max="7" width="20.42578125" customWidth="1"/>
  </cols>
  <sheetData>
    <row r="1" spans="1:7" ht="13.5" x14ac:dyDescent="0.2">
      <c r="A1" s="457" t="s">
        <v>888</v>
      </c>
    </row>
    <row r="2" spans="1:7" ht="13.5" x14ac:dyDescent="0.2">
      <c r="A2" s="457"/>
    </row>
    <row r="3" spans="1:7" ht="15.75" x14ac:dyDescent="0.2">
      <c r="A3" s="128" t="s">
        <v>889</v>
      </c>
      <c r="B3" s="128" t="s">
        <v>890</v>
      </c>
      <c r="C3" s="24"/>
      <c r="D3" s="24"/>
      <c r="E3" s="24"/>
      <c r="F3" s="24"/>
      <c r="G3" s="24"/>
    </row>
    <row r="4" spans="1:7" ht="13.5" x14ac:dyDescent="0.2">
      <c r="A4" s="457"/>
      <c r="C4" s="635" t="s">
        <v>891</v>
      </c>
    </row>
    <row r="5" spans="1:7" x14ac:dyDescent="0.2">
      <c r="A5" t="s">
        <v>892</v>
      </c>
      <c r="B5" t="s">
        <v>7</v>
      </c>
      <c r="C5" s="636">
        <f>IF(PROJET!C$6='Data-Liste'!B2,0,IF(PROJET!C$6='Data-Liste'!B4,0,1))</f>
        <v>0</v>
      </c>
    </row>
    <row r="6" spans="1:7" x14ac:dyDescent="0.2">
      <c r="B6" t="s">
        <v>10</v>
      </c>
      <c r="C6" s="636">
        <f>IF(PROJET!C$6='Data-Liste'!B2,0,IF(PROJET!C$6='Data-Liste'!B3,0,1))</f>
        <v>0</v>
      </c>
    </row>
    <row r="7" spans="1:7" x14ac:dyDescent="0.2">
      <c r="B7" t="s">
        <v>12</v>
      </c>
      <c r="C7" s="636">
        <f>IF(PROJET!C$8='Data-Liste'!A2,0,IF(PROJET!C$8='Data-Liste'!A4,0,1))</f>
        <v>0</v>
      </c>
    </row>
    <row r="8" spans="1:7" x14ac:dyDescent="0.2">
      <c r="B8" t="s">
        <v>15</v>
      </c>
      <c r="C8" s="636">
        <f>IF(PROJET!C$8='Data-Liste'!A2,0,IF(PROJET!C$8='Data-Liste'!A3,0,1))</f>
        <v>0</v>
      </c>
    </row>
    <row r="9" spans="1:7" x14ac:dyDescent="0.2">
      <c r="B9" t="s">
        <v>8</v>
      </c>
      <c r="C9" s="636">
        <f>IF(PROJET!C$7='Data-Liste'!C2,0,IF(PROJET!C$7='Data-Liste'!C3,0,1))</f>
        <v>0</v>
      </c>
    </row>
    <row r="10" spans="1:7" x14ac:dyDescent="0.2">
      <c r="B10" t="s">
        <v>17</v>
      </c>
      <c r="C10" s="636">
        <f>C8*IF(PROJET!C$10='Data-Liste'!F3,1,0)</f>
        <v>0</v>
      </c>
    </row>
    <row r="12" spans="1:7" x14ac:dyDescent="0.2">
      <c r="A12" t="s">
        <v>893</v>
      </c>
      <c r="C12" s="635" t="s">
        <v>32</v>
      </c>
      <c r="D12" s="635" t="s">
        <v>894</v>
      </c>
      <c r="E12" s="635" t="s">
        <v>895</v>
      </c>
    </row>
    <row r="13" spans="1:7" x14ac:dyDescent="0.2">
      <c r="B13" t="s">
        <v>12</v>
      </c>
      <c r="C13" s="637">
        <f>PROJET!C19*C5*C7</f>
        <v>0</v>
      </c>
      <c r="D13" s="638">
        <f>PROJET!D19*C6*C7</f>
        <v>0</v>
      </c>
      <c r="E13" s="636">
        <f>C13+D13</f>
        <v>0</v>
      </c>
      <c r="F13" t="s">
        <v>106</v>
      </c>
    </row>
    <row r="14" spans="1:7" x14ac:dyDescent="0.2">
      <c r="B14" t="str">
        <f>PROJET!C10</f>
        <v>Bureaux</v>
      </c>
      <c r="C14" s="639">
        <f>PROJET!C20*C5*C8</f>
        <v>0</v>
      </c>
      <c r="D14" s="640">
        <f>PROJET!D20*C6*C8</f>
        <v>0</v>
      </c>
      <c r="E14" s="636">
        <f>C14+D14</f>
        <v>0</v>
      </c>
      <c r="F14" t="s">
        <v>106</v>
      </c>
    </row>
    <row r="15" spans="1:7" x14ac:dyDescent="0.2">
      <c r="E15" s="641">
        <f>E13+E14</f>
        <v>0</v>
      </c>
      <c r="F15" s="642" t="s">
        <v>106</v>
      </c>
    </row>
    <row r="16" spans="1:7" x14ac:dyDescent="0.2">
      <c r="A16" t="s">
        <v>466</v>
      </c>
      <c r="B16" t="s">
        <v>896</v>
      </c>
      <c r="C16" s="636">
        <f>PROJET!C21</f>
        <v>0</v>
      </c>
      <c r="D16" t="s">
        <v>106</v>
      </c>
      <c r="E16" s="641"/>
      <c r="F16" s="642"/>
    </row>
    <row r="17" spans="1:7" x14ac:dyDescent="0.2">
      <c r="A17" t="s">
        <v>469</v>
      </c>
      <c r="B17" t="s">
        <v>897</v>
      </c>
      <c r="C17" s="636">
        <f>PROJET!G20</f>
        <v>0</v>
      </c>
      <c r="D17" t="s">
        <v>898</v>
      </c>
    </row>
    <row r="18" spans="1:7" x14ac:dyDescent="0.2">
      <c r="B18" t="s">
        <v>899</v>
      </c>
      <c r="C18" s="636">
        <f>PROJET!G21</f>
        <v>0</v>
      </c>
      <c r="D18" t="s">
        <v>898</v>
      </c>
    </row>
    <row r="19" spans="1:7" x14ac:dyDescent="0.2">
      <c r="A19" t="s">
        <v>900</v>
      </c>
      <c r="B19" t="s">
        <v>901</v>
      </c>
      <c r="C19" s="635">
        <f>PROJET!K20*IF(PROJET!C$38='Data-Liste'!K3,1,0)</f>
        <v>0</v>
      </c>
      <c r="D19" t="s">
        <v>36</v>
      </c>
    </row>
    <row r="21" spans="1:7" x14ac:dyDescent="0.2">
      <c r="C21" s="635" t="s">
        <v>32</v>
      </c>
      <c r="D21" s="635" t="s">
        <v>894</v>
      </c>
    </row>
    <row r="22" spans="1:7" x14ac:dyDescent="0.2">
      <c r="A22" t="s">
        <v>63</v>
      </c>
      <c r="C22" s="635">
        <f>VLOOKUP(PROJET!C36,Données!$B$17:$G$21,3,FALSE())</f>
        <v>1</v>
      </c>
      <c r="D22" s="635">
        <f>VLOOKUP(PROJET!D36,Données!$B$17:$G$21,5,FALSE())</f>
        <v>1</v>
      </c>
      <c r="E22" s="635"/>
    </row>
    <row r="23" spans="1:7" x14ac:dyDescent="0.2">
      <c r="A23" t="s">
        <v>66</v>
      </c>
      <c r="C23" s="635" t="s">
        <v>902</v>
      </c>
      <c r="D23" s="635" t="s">
        <v>902</v>
      </c>
      <c r="E23" s="635"/>
    </row>
    <row r="24" spans="1:7" x14ac:dyDescent="0.2">
      <c r="A24" t="s">
        <v>67</v>
      </c>
      <c r="C24" s="643">
        <f>VLOOKUP(PROJET!C40,Données!$B$27:$G$30,3,FALSE())</f>
        <v>40</v>
      </c>
      <c r="D24" s="644">
        <f>VLOOKUP(PROJET!D40,Données!$B$27:$G$30,5,FALSE())</f>
        <v>40</v>
      </c>
      <c r="E24" s="645" t="s">
        <v>493</v>
      </c>
    </row>
    <row r="25" spans="1:7" x14ac:dyDescent="0.2">
      <c r="A25" t="s">
        <v>68</v>
      </c>
      <c r="B25" t="str">
        <f>'Data-Liste'!F3</f>
        <v>Bureaux</v>
      </c>
      <c r="C25" s="646">
        <f>VLOOKUP(PROJET!C41,Données!$B$32:$G$35,3,FALSE())</f>
        <v>132</v>
      </c>
      <c r="D25" s="647">
        <f>VLOOKUP(PROJET!D41,Données!$B$32:$G$35,5,FALSE())</f>
        <v>132</v>
      </c>
      <c r="E25" s="645" t="s">
        <v>493</v>
      </c>
    </row>
    <row r="26" spans="1:7" x14ac:dyDescent="0.2">
      <c r="B26" t="str">
        <f>'Data-Liste'!F4</f>
        <v>Enseignement scolaire</v>
      </c>
      <c r="C26" s="646">
        <f>VLOOKUP(PROJET!C41,Données!$B$37:$G$41,3,FALSE())</f>
        <v>36</v>
      </c>
      <c r="D26" s="647">
        <f>VLOOKUP(PROJET!D41,Données!$B$37:$G$41,5,FALSE())</f>
        <v>36</v>
      </c>
      <c r="E26" s="645" t="s">
        <v>493</v>
      </c>
    </row>
    <row r="27" spans="1:7" x14ac:dyDescent="0.2">
      <c r="B27" t="str">
        <f>'Data-Liste'!F5</f>
        <v>Enseignement supérieur</v>
      </c>
      <c r="C27" s="646">
        <f>VLOOKUP(PROJET!C41,Données!$B$42:$G$45,3,FALSE())</f>
        <v>140</v>
      </c>
      <c r="D27" s="647">
        <f>VLOOKUP(PROJET!D41,Données!$B$42:$G$45,5,FALSE())</f>
        <v>140</v>
      </c>
      <c r="E27" s="645" t="s">
        <v>493</v>
      </c>
    </row>
    <row r="28" spans="1:7" x14ac:dyDescent="0.2">
      <c r="B28" t="str">
        <f>'Data-Liste'!F6</f>
        <v>Autre tertiaire (petit commerce)</v>
      </c>
      <c r="C28" s="646">
        <f>VLOOKUP(PROJET!C41,Données!$B$47:$G$51,3,FALSE())</f>
        <v>320</v>
      </c>
      <c r="D28" s="647">
        <f>VLOOKUP(PROJET!D41,Données!$B$47:$G$51,5,FALSE())</f>
        <v>320</v>
      </c>
      <c r="E28" s="645" t="s">
        <v>493</v>
      </c>
    </row>
    <row r="29" spans="1:7" x14ac:dyDescent="0.2">
      <c r="B29" t="str">
        <f>'Data-Liste'!F7</f>
        <v>Inconnu (livré en blanc)</v>
      </c>
      <c r="C29" s="639">
        <f>VLOOKUP(PROJET!C41,Données!$B$52:$G$55,3,FALSE())</f>
        <v>200</v>
      </c>
      <c r="D29" s="640">
        <f>VLOOKUP(PROJET!D41,Données!$B$52:$G$55,5,FALSE())</f>
        <v>200</v>
      </c>
      <c r="E29" s="645" t="s">
        <v>493</v>
      </c>
    </row>
    <row r="31" spans="1:7" x14ac:dyDescent="0.2">
      <c r="A31" s="642" t="s">
        <v>903</v>
      </c>
      <c r="C31" s="635" t="s">
        <v>32</v>
      </c>
      <c r="D31" s="635" t="s">
        <v>894</v>
      </c>
      <c r="E31" s="635" t="s">
        <v>904</v>
      </c>
      <c r="F31" s="635" t="s">
        <v>895</v>
      </c>
    </row>
    <row r="32" spans="1:7" x14ac:dyDescent="0.2">
      <c r="A32" t="s">
        <v>12</v>
      </c>
      <c r="B32" t="str">
        <f>'Data-Liste'!E3</f>
        <v>Individuels</v>
      </c>
      <c r="C32" s="648">
        <f>C$13*Données!D5*C$22</f>
        <v>0</v>
      </c>
      <c r="D32" s="649">
        <f>D$13*Données!F5*D$22</f>
        <v>0</v>
      </c>
      <c r="E32" s="650">
        <f>IF(PROJET!C$9=B32,1,0)</f>
        <v>1</v>
      </c>
      <c r="F32" s="636">
        <f t="shared" ref="F32:F39" si="0">(C32+D32)*E32</f>
        <v>0</v>
      </c>
      <c r="G32" t="s">
        <v>905</v>
      </c>
    </row>
    <row r="33" spans="1:7" x14ac:dyDescent="0.2">
      <c r="B33" t="str">
        <f>'Data-Liste'!E4</f>
        <v>Semi-collectifs</v>
      </c>
      <c r="C33" s="651">
        <f>C$13*Données!D6*C$22</f>
        <v>0</v>
      </c>
      <c r="D33" s="636">
        <f>D$13*Données!F6*D$22</f>
        <v>0</v>
      </c>
      <c r="E33" s="652">
        <f>IF(PROJET!C$9=B33,1,0)</f>
        <v>0</v>
      </c>
      <c r="F33" s="636">
        <f t="shared" si="0"/>
        <v>0</v>
      </c>
      <c r="G33" t="s">
        <v>905</v>
      </c>
    </row>
    <row r="34" spans="1:7" x14ac:dyDescent="0.2">
      <c r="B34" t="str">
        <f>'Data-Liste'!E5</f>
        <v>Collectifs</v>
      </c>
      <c r="C34" s="653">
        <f>C$13*Données!D7*C$22</f>
        <v>0</v>
      </c>
      <c r="D34" s="654">
        <f>D$13*Données!F7*D$22</f>
        <v>0</v>
      </c>
      <c r="E34" s="655">
        <f>IF(PROJET!C$9=B34,1,0)</f>
        <v>0</v>
      </c>
      <c r="F34" s="636">
        <f t="shared" si="0"/>
        <v>0</v>
      </c>
      <c r="G34" t="s">
        <v>905</v>
      </c>
    </row>
    <row r="35" spans="1:7" x14ac:dyDescent="0.2">
      <c r="A35" t="s">
        <v>15</v>
      </c>
      <c r="B35" t="str">
        <f>'Data-Liste'!F3</f>
        <v>Bureaux</v>
      </c>
      <c r="C35" s="651">
        <f>C$14*Données!D8*C$22</f>
        <v>0</v>
      </c>
      <c r="D35" s="636">
        <f>D$14*Données!F8*D$22</f>
        <v>0</v>
      </c>
      <c r="E35" s="652">
        <f>IF(PROJET!C$10=B35,1,0)</f>
        <v>1</v>
      </c>
      <c r="F35" s="636">
        <f t="shared" si="0"/>
        <v>0</v>
      </c>
      <c r="G35" t="s">
        <v>905</v>
      </c>
    </row>
    <row r="36" spans="1:7" x14ac:dyDescent="0.2">
      <c r="B36" t="str">
        <f>'Data-Liste'!F4</f>
        <v>Enseignement scolaire</v>
      </c>
      <c r="C36" s="651">
        <f>C$14*Données!D9*C$22</f>
        <v>0</v>
      </c>
      <c r="D36" s="636">
        <f>D$14*Données!F9*D$22</f>
        <v>0</v>
      </c>
      <c r="E36" s="652">
        <f>IF(PROJET!C$10=B36,1,0)</f>
        <v>0</v>
      </c>
      <c r="F36" s="636">
        <f t="shared" si="0"/>
        <v>0</v>
      </c>
      <c r="G36" t="s">
        <v>905</v>
      </c>
    </row>
    <row r="37" spans="1:7" x14ac:dyDescent="0.2">
      <c r="B37" t="str">
        <f>'Data-Liste'!F5</f>
        <v>Enseignement supérieur</v>
      </c>
      <c r="C37" s="651">
        <f>C$14*Données!D10*C$22</f>
        <v>0</v>
      </c>
      <c r="D37" s="636">
        <f>D$14*Données!F10*D$22</f>
        <v>0</v>
      </c>
      <c r="E37" s="652">
        <f>IF(PROJET!C$10=B37,1,0)</f>
        <v>0</v>
      </c>
      <c r="F37" s="636">
        <f t="shared" si="0"/>
        <v>0</v>
      </c>
      <c r="G37" t="s">
        <v>905</v>
      </c>
    </row>
    <row r="38" spans="1:7" x14ac:dyDescent="0.2">
      <c r="B38" t="str">
        <f>'Data-Liste'!F6</f>
        <v>Autre tertiaire (petit commerce)</v>
      </c>
      <c r="C38" s="651">
        <f>C$14*Données!D11*C$22</f>
        <v>0</v>
      </c>
      <c r="D38" s="636">
        <f>D$14*Données!F11*D$22</f>
        <v>0</v>
      </c>
      <c r="E38" s="652">
        <f>IF(PROJET!C$10=B38,1,0)</f>
        <v>0</v>
      </c>
      <c r="F38" s="636">
        <f t="shared" si="0"/>
        <v>0</v>
      </c>
      <c r="G38" t="s">
        <v>905</v>
      </c>
    </row>
    <row r="39" spans="1:7" x14ac:dyDescent="0.2">
      <c r="B39" t="str">
        <f>'Data-Liste'!F7</f>
        <v>Inconnu (livré en blanc)</v>
      </c>
      <c r="C39" s="653">
        <f>C$14*Données!D12*C$22</f>
        <v>0</v>
      </c>
      <c r="D39" s="654">
        <f>D$14*Données!F12*D$22</f>
        <v>0</v>
      </c>
      <c r="E39" s="655">
        <f>IF(PROJET!C$10=B39,1,0)</f>
        <v>0</v>
      </c>
      <c r="F39" s="636">
        <f t="shared" si="0"/>
        <v>0</v>
      </c>
      <c r="G39" t="s">
        <v>905</v>
      </c>
    </row>
    <row r="40" spans="1:7" x14ac:dyDescent="0.2">
      <c r="A40" t="s">
        <v>906</v>
      </c>
      <c r="C40" s="636"/>
      <c r="D40" s="636"/>
      <c r="E40" s="636"/>
      <c r="F40" s="636">
        <f>C16*Données!D13</f>
        <v>0</v>
      </c>
      <c r="G40" t="s">
        <v>905</v>
      </c>
    </row>
    <row r="41" spans="1:7" x14ac:dyDescent="0.2">
      <c r="A41" t="s">
        <v>907</v>
      </c>
      <c r="C41" s="636"/>
      <c r="D41" s="636"/>
      <c r="E41" s="636"/>
      <c r="F41" s="636">
        <f>C17*Données!D15+C18*Données!D16</f>
        <v>0</v>
      </c>
      <c r="G41" t="s">
        <v>905</v>
      </c>
    </row>
    <row r="42" spans="1:7" x14ac:dyDescent="0.2">
      <c r="C42" s="636"/>
      <c r="D42" s="635"/>
      <c r="E42" s="635"/>
      <c r="F42" s="641">
        <f>SUM(F32:F41)</f>
        <v>0</v>
      </c>
      <c r="G42" s="642" t="s">
        <v>905</v>
      </c>
    </row>
    <row r="43" spans="1:7" x14ac:dyDescent="0.2">
      <c r="A43" t="s">
        <v>900</v>
      </c>
      <c r="C43" s="635">
        <f>C19*Données!D340/100</f>
        <v>0</v>
      </c>
      <c r="D43" t="s">
        <v>459</v>
      </c>
      <c r="F43" s="635"/>
    </row>
    <row r="44" spans="1:7" x14ac:dyDescent="0.2">
      <c r="B44" s="656" t="s">
        <v>64</v>
      </c>
      <c r="C44" s="657" t="str">
        <f>IF(E15=0,"surface non renseignée",F42/E15+C43)</f>
        <v>surface non renseignée</v>
      </c>
      <c r="D44" s="658" t="s">
        <v>459</v>
      </c>
    </row>
    <row r="46" spans="1:7" x14ac:dyDescent="0.2">
      <c r="A46" s="642" t="s">
        <v>908</v>
      </c>
      <c r="C46" s="635" t="s">
        <v>32</v>
      </c>
      <c r="D46" s="635" t="s">
        <v>894</v>
      </c>
      <c r="E46" s="635" t="s">
        <v>904</v>
      </c>
      <c r="F46" s="635" t="s">
        <v>895</v>
      </c>
    </row>
    <row r="47" spans="1:7" x14ac:dyDescent="0.2">
      <c r="A47" t="s">
        <v>12</v>
      </c>
      <c r="C47" s="659">
        <f>C13*C24</f>
        <v>0</v>
      </c>
      <c r="D47" s="660">
        <f>D13*D24</f>
        <v>0</v>
      </c>
      <c r="E47" s="661">
        <f>C7</f>
        <v>0</v>
      </c>
      <c r="F47" s="636">
        <f t="shared" ref="F47:F52" si="1">(C47+D47)*E47</f>
        <v>0</v>
      </c>
      <c r="G47" t="s">
        <v>258</v>
      </c>
    </row>
    <row r="48" spans="1:7" x14ac:dyDescent="0.2">
      <c r="A48" t="s">
        <v>15</v>
      </c>
      <c r="B48" t="str">
        <f>'Data-Liste'!F3</f>
        <v>Bureaux</v>
      </c>
      <c r="C48" s="651">
        <f t="shared" ref="C48:D52" si="2">C$14*C25</f>
        <v>0</v>
      </c>
      <c r="D48" s="636">
        <f t="shared" si="2"/>
        <v>0</v>
      </c>
      <c r="E48" s="652">
        <f>E35</f>
        <v>1</v>
      </c>
      <c r="F48" s="636">
        <f t="shared" si="1"/>
        <v>0</v>
      </c>
      <c r="G48" t="s">
        <v>258</v>
      </c>
    </row>
    <row r="49" spans="1:7" x14ac:dyDescent="0.2">
      <c r="B49" t="str">
        <f>'Data-Liste'!F4</f>
        <v>Enseignement scolaire</v>
      </c>
      <c r="C49" s="651">
        <f t="shared" si="2"/>
        <v>0</v>
      </c>
      <c r="D49" s="636">
        <f t="shared" si="2"/>
        <v>0</v>
      </c>
      <c r="E49" s="652">
        <f>E36</f>
        <v>0</v>
      </c>
      <c r="F49" s="636">
        <f t="shared" si="1"/>
        <v>0</v>
      </c>
      <c r="G49" t="s">
        <v>258</v>
      </c>
    </row>
    <row r="50" spans="1:7" x14ac:dyDescent="0.2">
      <c r="B50" t="str">
        <f>'Data-Liste'!F5</f>
        <v>Enseignement supérieur</v>
      </c>
      <c r="C50" s="651">
        <f t="shared" si="2"/>
        <v>0</v>
      </c>
      <c r="D50" s="636">
        <f t="shared" si="2"/>
        <v>0</v>
      </c>
      <c r="E50" s="652">
        <f>E37</f>
        <v>0</v>
      </c>
      <c r="F50" s="636">
        <f t="shared" si="1"/>
        <v>0</v>
      </c>
      <c r="G50" t="s">
        <v>258</v>
      </c>
    </row>
    <row r="51" spans="1:7" x14ac:dyDescent="0.2">
      <c r="B51" t="str">
        <f>'Data-Liste'!F6</f>
        <v>Autre tertiaire (petit commerce)</v>
      </c>
      <c r="C51" s="651">
        <f t="shared" si="2"/>
        <v>0</v>
      </c>
      <c r="D51" s="636">
        <f t="shared" si="2"/>
        <v>0</v>
      </c>
      <c r="E51" s="652">
        <f>E38</f>
        <v>0</v>
      </c>
      <c r="F51" s="636">
        <f t="shared" si="1"/>
        <v>0</v>
      </c>
      <c r="G51" t="s">
        <v>258</v>
      </c>
    </row>
    <row r="52" spans="1:7" x14ac:dyDescent="0.2">
      <c r="B52" t="str">
        <f>'Data-Liste'!F7</f>
        <v>Inconnu (livré en blanc)</v>
      </c>
      <c r="C52" s="653">
        <f t="shared" si="2"/>
        <v>0</v>
      </c>
      <c r="D52" s="654">
        <f t="shared" si="2"/>
        <v>0</v>
      </c>
      <c r="E52" s="655">
        <f>E39</f>
        <v>0</v>
      </c>
      <c r="F52" s="636">
        <f t="shared" si="1"/>
        <v>0</v>
      </c>
      <c r="G52" t="s">
        <v>258</v>
      </c>
    </row>
    <row r="53" spans="1:7" x14ac:dyDescent="0.2">
      <c r="C53" s="636"/>
      <c r="D53" s="636"/>
      <c r="E53" s="636"/>
      <c r="F53" s="641">
        <f>SUM(F47:F52)</f>
        <v>0</v>
      </c>
      <c r="G53" s="642" t="s">
        <v>258</v>
      </c>
    </row>
    <row r="54" spans="1:7" x14ac:dyDescent="0.2">
      <c r="A54" t="s">
        <v>900</v>
      </c>
      <c r="C54" s="635">
        <f>-C19*Données!D685/100</f>
        <v>0</v>
      </c>
      <c r="D54" t="s">
        <v>50</v>
      </c>
      <c r="F54" s="635"/>
    </row>
    <row r="55" spans="1:7" x14ac:dyDescent="0.2">
      <c r="B55" s="656" t="s">
        <v>69</v>
      </c>
      <c r="C55" s="662" t="str">
        <f>IF(E15=0,"surface non renseignée",F53/E15+C54)</f>
        <v>surface non renseignée</v>
      </c>
      <c r="D55" s="658" t="s">
        <v>50</v>
      </c>
      <c r="E55" s="663"/>
      <c r="F55" s="663"/>
    </row>
    <row r="56" spans="1:7" x14ac:dyDescent="0.2">
      <c r="B56" s="656" t="s">
        <v>70</v>
      </c>
      <c r="C56" s="662" t="str">
        <f>IF(E15=0,"surface non renseignée",C55*Données!D56)</f>
        <v>surface non renseignée</v>
      </c>
      <c r="D56" s="658" t="s">
        <v>86</v>
      </c>
    </row>
    <row r="58" spans="1:7" x14ac:dyDescent="0.2">
      <c r="A58" s="642" t="s">
        <v>61</v>
      </c>
      <c r="C58" s="635" t="s">
        <v>683</v>
      </c>
      <c r="D58" s="635" t="s">
        <v>909</v>
      </c>
    </row>
    <row r="59" spans="1:7" x14ac:dyDescent="0.2">
      <c r="B59" t="s">
        <v>47</v>
      </c>
      <c r="C59" s="664" t="str">
        <f>IF(E15=0,"surface non renseignée",Données!D22*(Données!D24-C44)/(Données!D24-Données!D23))</f>
        <v>surface non renseignée</v>
      </c>
      <c r="D59" s="664">
        <f>IF(C44&lt;Données!D23,Données!D22,IF(C44&gt;Données!D24,0,C59))</f>
        <v>0</v>
      </c>
      <c r="E59" t="str">
        <f>CONCATENATE("points / ",Données!D$22)</f>
        <v>points / 30</v>
      </c>
    </row>
    <row r="60" spans="1:7" x14ac:dyDescent="0.2">
      <c r="B60" t="s">
        <v>56</v>
      </c>
      <c r="C60" s="664" t="str">
        <f>IF(E15=0,"surface non renseignée",Données!D57*(Données!D59-C56)/(Données!D59-Données!D58))</f>
        <v>surface non renseignée</v>
      </c>
      <c r="D60" s="664">
        <f>IF(C56&lt;Données!D58,Données!D57,IF(C56&gt;Données!D59,0,C60))</f>
        <v>0</v>
      </c>
      <c r="E60" t="str">
        <f>CONCATENATE("points / ",Données!D$57)</f>
        <v>points / 70</v>
      </c>
    </row>
    <row r="61" spans="1:7" x14ac:dyDescent="0.2">
      <c r="B61" s="656" t="s">
        <v>71</v>
      </c>
      <c r="C61" s="662">
        <f>D59+D60</f>
        <v>0</v>
      </c>
      <c r="D61" s="658" t="s">
        <v>910</v>
      </c>
    </row>
  </sheetData>
  <sheetProtection sheet="1" objects="1" scenarios="1" selectLockedCells="1" selectUnlockedCells="1"/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FC32"/>
  <sheetViews>
    <sheetView zoomScale="95" zoomScaleNormal="95" workbookViewId="0"/>
  </sheetViews>
  <sheetFormatPr baseColWidth="10" defaultColWidth="10.7109375" defaultRowHeight="12.75" customHeight="1" x14ac:dyDescent="0.2"/>
  <cols>
    <col min="1" max="1" width="30.7109375" style="456" customWidth="1"/>
    <col min="2" max="2" width="25.5703125" style="456" customWidth="1"/>
    <col min="3" max="5" width="20.42578125" style="456" customWidth="1"/>
    <col min="6" max="6" width="30.7109375" style="456" customWidth="1"/>
    <col min="7" max="7" width="19" style="456" customWidth="1"/>
    <col min="8" max="8" width="20.42578125" style="456" customWidth="1"/>
    <col min="9" max="9" width="23.7109375" style="456" customWidth="1"/>
    <col min="10" max="10" width="20.42578125" style="487" customWidth="1"/>
    <col min="11" max="11" width="15.28515625" style="450" customWidth="1"/>
    <col min="12" max="14" width="20.42578125" style="450" customWidth="1"/>
    <col min="15" max="16" width="23" style="450" customWidth="1"/>
    <col min="17" max="16383" width="10.7109375" style="450"/>
  </cols>
  <sheetData>
    <row r="1" spans="1:16" ht="12.75" customHeight="1" x14ac:dyDescent="0.2">
      <c r="A1" s="665" t="s">
        <v>911</v>
      </c>
      <c r="B1" s="665" t="s">
        <v>912</v>
      </c>
      <c r="C1" s="665" t="s">
        <v>913</v>
      </c>
      <c r="D1" s="665" t="s">
        <v>903</v>
      </c>
      <c r="E1" s="665" t="s">
        <v>914</v>
      </c>
      <c r="F1" s="665" t="s">
        <v>915</v>
      </c>
      <c r="G1" s="665" t="s">
        <v>916</v>
      </c>
      <c r="H1" s="665" t="s">
        <v>405</v>
      </c>
      <c r="I1" s="665" t="s">
        <v>917</v>
      </c>
      <c r="J1" s="665" t="s">
        <v>918</v>
      </c>
      <c r="K1" s="665" t="s">
        <v>919</v>
      </c>
      <c r="L1" s="665" t="s">
        <v>920</v>
      </c>
      <c r="M1" s="665" t="s">
        <v>921</v>
      </c>
      <c r="N1" s="665" t="s">
        <v>922</v>
      </c>
      <c r="O1" s="665" t="s">
        <v>923</v>
      </c>
      <c r="P1" s="665" t="s">
        <v>924</v>
      </c>
    </row>
    <row r="2" spans="1:16" ht="12.75" customHeight="1" x14ac:dyDescent="0.2">
      <c r="A2" s="456" t="s">
        <v>42</v>
      </c>
      <c r="B2" s="456" t="s">
        <v>42</v>
      </c>
      <c r="C2" s="456" t="s">
        <v>42</v>
      </c>
      <c r="D2" s="456" t="s">
        <v>42</v>
      </c>
      <c r="E2" s="456" t="s">
        <v>42</v>
      </c>
      <c r="F2" s="456" t="s">
        <v>42</v>
      </c>
      <c r="G2" s="456" t="s">
        <v>42</v>
      </c>
      <c r="H2" s="456" t="s">
        <v>42</v>
      </c>
      <c r="I2" s="456" t="s">
        <v>42</v>
      </c>
      <c r="J2" s="456" t="s">
        <v>42</v>
      </c>
      <c r="K2" s="456" t="s">
        <v>42</v>
      </c>
      <c r="L2" s="456" t="s">
        <v>42</v>
      </c>
      <c r="M2" s="456" t="s">
        <v>42</v>
      </c>
      <c r="N2" s="456" t="s">
        <v>42</v>
      </c>
      <c r="O2" s="456" t="s">
        <v>42</v>
      </c>
      <c r="P2" s="456" t="s">
        <v>42</v>
      </c>
    </row>
    <row r="3" spans="1:16" ht="12.75" customHeight="1" x14ac:dyDescent="0.2">
      <c r="A3" s="456" t="s">
        <v>12</v>
      </c>
      <c r="B3" s="456" t="s">
        <v>7</v>
      </c>
      <c r="C3" s="456" t="s">
        <v>9</v>
      </c>
      <c r="D3" s="456" t="s">
        <v>925</v>
      </c>
      <c r="E3" s="456" t="s">
        <v>14</v>
      </c>
      <c r="F3" s="456" t="s">
        <v>17</v>
      </c>
      <c r="G3" s="456" t="s">
        <v>926</v>
      </c>
      <c r="H3" s="456" t="s">
        <v>927</v>
      </c>
      <c r="I3" s="456" t="s">
        <v>928</v>
      </c>
      <c r="J3" s="487" t="s">
        <v>929</v>
      </c>
      <c r="K3" s="456" t="s">
        <v>930</v>
      </c>
      <c r="L3" s="456" t="s">
        <v>931</v>
      </c>
      <c r="M3" s="456" t="s">
        <v>932</v>
      </c>
      <c r="N3" s="456" t="s">
        <v>933</v>
      </c>
      <c r="O3" s="456" t="s">
        <v>934</v>
      </c>
      <c r="P3" s="456" t="s">
        <v>934</v>
      </c>
    </row>
    <row r="4" spans="1:16" ht="12.75" customHeight="1" x14ac:dyDescent="0.2">
      <c r="A4" s="456" t="s">
        <v>15</v>
      </c>
      <c r="B4" s="456" t="s">
        <v>449</v>
      </c>
      <c r="C4" s="456" t="s">
        <v>935</v>
      </c>
      <c r="D4" s="456" t="s">
        <v>936</v>
      </c>
      <c r="E4" s="456" t="s">
        <v>937</v>
      </c>
      <c r="F4" s="456" t="s">
        <v>938</v>
      </c>
      <c r="G4" s="456" t="s">
        <v>939</v>
      </c>
      <c r="H4" s="456" t="s">
        <v>940</v>
      </c>
      <c r="I4" s="456" t="s">
        <v>941</v>
      </c>
      <c r="J4" s="487" t="s">
        <v>942</v>
      </c>
      <c r="K4" s="456" t="s">
        <v>943</v>
      </c>
      <c r="L4" s="456" t="s">
        <v>944</v>
      </c>
      <c r="M4" s="456" t="s">
        <v>945</v>
      </c>
      <c r="N4" s="456" t="s">
        <v>946</v>
      </c>
      <c r="O4" s="456" t="s">
        <v>947</v>
      </c>
      <c r="P4" s="456" t="s">
        <v>947</v>
      </c>
    </row>
    <row r="5" spans="1:16" ht="12.75" customHeight="1" x14ac:dyDescent="0.2">
      <c r="A5" s="456" t="s">
        <v>948</v>
      </c>
      <c r="B5" s="456" t="s">
        <v>6</v>
      </c>
      <c r="C5" s="456" t="s">
        <v>949</v>
      </c>
      <c r="D5" s="456" t="s">
        <v>950</v>
      </c>
      <c r="E5" s="456" t="s">
        <v>951</v>
      </c>
      <c r="F5" s="456" t="s">
        <v>952</v>
      </c>
      <c r="G5" s="456" t="s">
        <v>953</v>
      </c>
      <c r="H5" s="456" t="s">
        <v>954</v>
      </c>
      <c r="I5" s="456" t="s">
        <v>955</v>
      </c>
      <c r="J5" s="487" t="s">
        <v>956</v>
      </c>
      <c r="L5" s="456" t="s">
        <v>957</v>
      </c>
      <c r="M5" s="456" t="s">
        <v>933</v>
      </c>
      <c r="N5" s="456" t="s">
        <v>958</v>
      </c>
      <c r="O5" s="456" t="s">
        <v>959</v>
      </c>
      <c r="P5" s="456" t="s">
        <v>960</v>
      </c>
    </row>
    <row r="6" spans="1:16" ht="12.75" customHeight="1" x14ac:dyDescent="0.2">
      <c r="D6" s="456" t="s">
        <v>961</v>
      </c>
      <c r="F6" s="456" t="s">
        <v>962</v>
      </c>
      <c r="J6" s="487" t="s">
        <v>963</v>
      </c>
      <c r="M6" s="456"/>
    </row>
    <row r="7" spans="1:16" ht="12.75" customHeight="1" x14ac:dyDescent="0.2">
      <c r="F7" s="456" t="s">
        <v>964</v>
      </c>
    </row>
    <row r="10" spans="1:16" ht="12.75" customHeight="1" x14ac:dyDescent="0.2">
      <c r="A10" s="665" t="s">
        <v>965</v>
      </c>
    </row>
    <row r="11" spans="1:16" ht="12.75" customHeight="1" x14ac:dyDescent="0.2">
      <c r="A11" s="531"/>
    </row>
    <row r="12" spans="1:16" ht="12.75" customHeight="1" x14ac:dyDescent="0.2">
      <c r="A12" s="531">
        <v>0</v>
      </c>
    </row>
    <row r="13" spans="1:16" ht="12.75" customHeight="1" x14ac:dyDescent="0.2">
      <c r="A13" s="531">
        <v>0.05</v>
      </c>
    </row>
    <row r="14" spans="1:16" ht="12.75" customHeight="1" x14ac:dyDescent="0.2">
      <c r="A14" s="531">
        <v>0.1</v>
      </c>
    </row>
    <row r="15" spans="1:16" ht="12.75" customHeight="1" x14ac:dyDescent="0.2">
      <c r="A15" s="531">
        <v>0.15</v>
      </c>
    </row>
    <row r="16" spans="1:16" ht="12.75" customHeight="1" x14ac:dyDescent="0.2">
      <c r="A16" s="531">
        <v>0.2</v>
      </c>
    </row>
    <row r="17" spans="1:1" ht="12.75" customHeight="1" x14ac:dyDescent="0.2">
      <c r="A17" s="531">
        <v>0.25</v>
      </c>
    </row>
    <row r="18" spans="1:1" ht="12.75" customHeight="1" x14ac:dyDescent="0.2">
      <c r="A18" s="531">
        <v>0.3</v>
      </c>
    </row>
    <row r="19" spans="1:1" ht="12.75" customHeight="1" x14ac:dyDescent="0.2">
      <c r="A19" s="531">
        <v>0.35</v>
      </c>
    </row>
    <row r="20" spans="1:1" ht="12.75" customHeight="1" x14ac:dyDescent="0.2">
      <c r="A20" s="531">
        <v>0.4</v>
      </c>
    </row>
    <row r="21" spans="1:1" ht="12.75" customHeight="1" x14ac:dyDescent="0.2">
      <c r="A21" s="531">
        <v>0.45</v>
      </c>
    </row>
    <row r="22" spans="1:1" ht="12.75" customHeight="1" x14ac:dyDescent="0.2">
      <c r="A22" s="531">
        <v>0.5</v>
      </c>
    </row>
    <row r="23" spans="1:1" ht="12.75" customHeight="1" x14ac:dyDescent="0.2">
      <c r="A23" s="531">
        <v>0.55000000000000004</v>
      </c>
    </row>
    <row r="24" spans="1:1" ht="12.75" customHeight="1" x14ac:dyDescent="0.2">
      <c r="A24" s="531">
        <v>0.6</v>
      </c>
    </row>
    <row r="25" spans="1:1" ht="12.75" customHeight="1" x14ac:dyDescent="0.2">
      <c r="A25" s="531">
        <v>0.65</v>
      </c>
    </row>
    <row r="26" spans="1:1" ht="12.75" customHeight="1" x14ac:dyDescent="0.2">
      <c r="A26" s="531">
        <v>0.7</v>
      </c>
    </row>
    <row r="27" spans="1:1" ht="12.75" customHeight="1" x14ac:dyDescent="0.2">
      <c r="A27" s="531">
        <v>0.75</v>
      </c>
    </row>
    <row r="28" spans="1:1" ht="12.75" customHeight="1" x14ac:dyDescent="0.2">
      <c r="A28" s="531">
        <v>0.8</v>
      </c>
    </row>
    <row r="29" spans="1:1" ht="12.75" customHeight="1" x14ac:dyDescent="0.2">
      <c r="A29" s="531">
        <v>0.85</v>
      </c>
    </row>
    <row r="30" spans="1:1" ht="12.75" customHeight="1" x14ac:dyDescent="0.2">
      <c r="A30" s="531">
        <v>0.9</v>
      </c>
    </row>
    <row r="31" spans="1:1" ht="12.75" customHeight="1" x14ac:dyDescent="0.2">
      <c r="A31" s="531">
        <v>0.95</v>
      </c>
    </row>
    <row r="32" spans="1:1" ht="12.75" customHeight="1" x14ac:dyDescent="0.2">
      <c r="A32" s="531">
        <v>1</v>
      </c>
    </row>
  </sheetData>
  <sheetProtection sheet="1" objects="1" scenarios="1" selectLockedCells="1" selectUnlockedCells="1"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PROJET</vt:lpstr>
      <vt:lpstr>EMPREINTE</vt:lpstr>
      <vt:lpstr>SYNTHESE</vt:lpstr>
      <vt:lpstr>SYNTHESE (i)</vt:lpstr>
      <vt:lpstr>Données</vt:lpstr>
      <vt:lpstr>Calcul Projet</vt:lpstr>
      <vt:lpstr>Data-Liste</vt:lpstr>
      <vt:lpstr>Tertiaire</vt:lpstr>
      <vt:lpstr>Usages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a.donguy@a-i-a.fr;castaignede@bco2.fr;m.havard@a-i-a.fr;aurelie.lenoir@imageen.re;mp@leureunion.fr;francois.garde@univ-reunion.fr</dc:creator>
  <cp:keywords/>
  <dc:description/>
  <cp:lastModifiedBy>HAVARD Maxime</cp:lastModifiedBy>
  <cp:revision>2336</cp:revision>
  <dcterms:created xsi:type="dcterms:W3CDTF">2009-05-29T16:57:16Z</dcterms:created>
  <dcterms:modified xsi:type="dcterms:W3CDTF">2026-05-28T07:49:08Z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Info 1">
    <vt:lpwstr/>
  </property>
  <property fmtid="{D5CDD505-2E9C-101B-9397-08002B2CF9AE}" pid="4" name="Info 2">
    <vt:lpwstr/>
  </property>
  <property fmtid="{D5CDD505-2E9C-101B-9397-08002B2CF9AE}" pid="5" name="Info 3">
    <vt:lpwstr/>
  </property>
  <property fmtid="{D5CDD505-2E9C-101B-9397-08002B2CF9AE}" pid="6" name="Info 4">
    <vt:lpwstr/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